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H:\Sales\Restricted Substance Compliance\Conflict Minerals\2025\"/>
    </mc:Choice>
  </mc:AlternateContent>
  <workbookProtection workbookAlgorithmName="SHA-512" workbookHashValue="wDO72AnhxIokwyKVRtq9mCq6vPZY+g2fC2+KVhYi7Ax9D8wT9uw51HUS2o+Ye020zOxf4ZwAXlSeM2ISlu2EWg==" workbookSaltValue="SR2VeyLbwJAGSjE/ZObH9g==" workbookSpinCount="100000" lockStructure="1"/>
  <bookViews>
    <workbookView xWindow="0" yWindow="0" windowWidth="28800" windowHeight="11175" tabRatio="789" activeTab="3"/>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62913"/>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c r="C2501" i="5"/>
  <c r="AB2501" i="5"/>
  <c r="C2502" i="5"/>
  <c r="AB2502" i="5"/>
  <c r="C2503" i="5"/>
  <c r="AB2503" i="5"/>
  <c r="V2500" i="5"/>
  <c r="E2500" i="5"/>
  <c r="X2500" i="5" s="1"/>
  <c r="V2501" i="5"/>
  <c r="E2501" i="5"/>
  <c r="X2501" i="5"/>
  <c r="V2502" i="5"/>
  <c r="E2502" i="5"/>
  <c r="X2502" i="5" s="1"/>
  <c r="V2503" i="5"/>
  <c r="E2503" i="5"/>
  <c r="X2503" i="5" s="1"/>
  <c r="B2500" i="5"/>
  <c r="T2500" i="5"/>
  <c r="B2501" i="5"/>
  <c r="T2501" i="5"/>
  <c r="B2502" i="5"/>
  <c r="T2502" i="5"/>
  <c r="B2503" i="5"/>
  <c r="T2503" i="5"/>
  <c r="S2500" i="5"/>
  <c r="S2501" i="5"/>
  <c r="S2502" i="5"/>
  <c r="S2503" i="5"/>
  <c r="R2500" i="5"/>
  <c r="R2501" i="5"/>
  <c r="R2502" i="5"/>
  <c r="R2503" i="5"/>
  <c r="C2499"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AB12" i="5"/>
  <c r="V12" i="5"/>
  <c r="X12" i="5"/>
  <c r="J12" i="5"/>
  <c r="R12" i="5"/>
  <c r="I12" i="5"/>
  <c r="H12" i="5"/>
  <c r="G12" i="5"/>
  <c r="AB11" i="5"/>
  <c r="V11" i="5"/>
  <c r="X11" i="5"/>
  <c r="J11" i="5"/>
  <c r="R11" i="5"/>
  <c r="I11" i="5"/>
  <c r="H11" i="5"/>
  <c r="G11" i="5"/>
  <c r="AB10" i="5"/>
  <c r="V10" i="5"/>
  <c r="X10" i="5"/>
  <c r="J10" i="5"/>
  <c r="R10" i="5"/>
  <c r="I10" i="5"/>
  <c r="H10" i="5"/>
  <c r="G10" i="5"/>
  <c r="AB9" i="5"/>
  <c r="V9" i="5"/>
  <c r="X9" i="5"/>
  <c r="J9" i="5"/>
  <c r="R9" i="5"/>
  <c r="I9" i="5"/>
  <c r="H9" i="5"/>
  <c r="G9" i="5"/>
  <c r="AB8" i="5"/>
  <c r="V8" i="5"/>
  <c r="X8" i="5"/>
  <c r="J8" i="5"/>
  <c r="R8" i="5"/>
  <c r="I8" i="5"/>
  <c r="H8" i="5"/>
  <c r="G8" i="5"/>
  <c r="AB7" i="5"/>
  <c r="V7" i="5"/>
  <c r="X7" i="5"/>
  <c r="J7" i="5"/>
  <c r="R7" i="5"/>
  <c r="I7" i="5"/>
  <c r="H7" i="5"/>
  <c r="G7" i="5"/>
  <c r="AB6" i="5"/>
  <c r="V6" i="5"/>
  <c r="X6" i="5"/>
  <c r="J6" i="5"/>
  <c r="R6" i="5"/>
  <c r="I6" i="5"/>
  <c r="H6" i="5"/>
  <c r="G6" i="5"/>
  <c r="AB5" i="5"/>
  <c r="V5" i="5"/>
  <c r="X5" i="5"/>
  <c r="J5" i="5"/>
  <c r="R5" i="5"/>
  <c r="I5" i="5"/>
  <c r="H5" i="5"/>
  <c r="G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B30" i="4"/>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O30" i="4"/>
  <c r="P54" i="4"/>
  <c r="B137" i="4"/>
  <c r="A111" i="6"/>
  <c r="B135" i="4"/>
  <c r="A110" i="6"/>
  <c r="B133" i="4"/>
  <c r="A109" i="6"/>
  <c r="B131" i="4"/>
  <c r="A108" i="6" s="1"/>
  <c r="B120" i="4"/>
  <c r="A98" i="6"/>
  <c r="B119" i="4"/>
  <c r="A97" i="6"/>
  <c r="B117" i="4"/>
  <c r="A95" i="6"/>
  <c r="B115" i="4"/>
  <c r="A94" i="6" s="1"/>
  <c r="B114" i="4"/>
  <c r="A93" i="6"/>
  <c r="B102" i="4"/>
  <c r="A83" i="6"/>
  <c r="P53" i="4"/>
  <c r="B90" i="4"/>
  <c r="A72" i="6"/>
  <c r="B78" i="4"/>
  <c r="A61" i="6"/>
  <c r="B66" i="4"/>
  <c r="A50" i="6"/>
  <c r="B54" i="4"/>
  <c r="A39" i="6"/>
  <c r="P42" i="4"/>
  <c r="B42" i="4"/>
  <c r="A28" i="6"/>
  <c r="P41" i="4"/>
  <c r="A17" i="6"/>
  <c r="B29" i="4"/>
  <c r="A16" i="6"/>
  <c r="B26" i="4"/>
  <c r="A15" i="6"/>
  <c r="B24" i="4"/>
  <c r="A13" i="6" s="1"/>
  <c r="B22" i="4"/>
  <c r="A12" i="6"/>
  <c r="B21" i="4"/>
  <c r="A11" i="6"/>
  <c r="B20" i="4"/>
  <c r="A10" i="6"/>
  <c r="B19" i="4"/>
  <c r="A9" i="6" s="1"/>
  <c r="A8" i="6"/>
  <c r="B12" i="4"/>
  <c r="A7" i="6" s="1"/>
  <c r="B10" i="4"/>
  <c r="A6" i="6" s="1"/>
  <c r="B9" i="4"/>
  <c r="A5" i="6" s="1"/>
  <c r="A139" i="4"/>
  <c r="B138" i="4"/>
  <c r="I114" i="4"/>
  <c r="H114" i="4"/>
  <c r="G29" i="4"/>
  <c r="G65" i="4" s="1"/>
  <c r="D29" i="4"/>
  <c r="D114" i="4" s="1"/>
  <c r="B113" i="4"/>
  <c r="H101" i="4"/>
  <c r="G89" i="4"/>
  <c r="S51" i="4"/>
  <c r="T51" i="4"/>
  <c r="U51" i="4"/>
  <c r="V51" i="4"/>
  <c r="W51" i="4"/>
  <c r="X51" i="4"/>
  <c r="Y51" i="4"/>
  <c r="Z51" i="4"/>
  <c r="AA51" i="4"/>
  <c r="AB51" i="4"/>
  <c r="AC51" i="4"/>
  <c r="S50" i="4"/>
  <c r="T50" i="4"/>
  <c r="U50" i="4"/>
  <c r="V50" i="4"/>
  <c r="W50" i="4"/>
  <c r="X50" i="4"/>
  <c r="Y50" i="4"/>
  <c r="Z50" i="4"/>
  <c r="AA50" i="4"/>
  <c r="AB50" i="4"/>
  <c r="AC50" i="4"/>
  <c r="S49" i="4"/>
  <c r="T49" i="4"/>
  <c r="U49" i="4"/>
  <c r="V49" i="4"/>
  <c r="W49" i="4"/>
  <c r="X49" i="4"/>
  <c r="Y49" i="4"/>
  <c r="Z49" i="4"/>
  <c r="AA49" i="4"/>
  <c r="AB49" i="4"/>
  <c r="AC49" i="4"/>
  <c r="S48" i="4"/>
  <c r="T48" i="4"/>
  <c r="U48" i="4"/>
  <c r="V48" i="4"/>
  <c r="W48" i="4"/>
  <c r="X48" i="4"/>
  <c r="Y48" i="4"/>
  <c r="Z48" i="4"/>
  <c r="AA48" i="4"/>
  <c r="AB48" i="4"/>
  <c r="AC48" i="4"/>
  <c r="S47" i="4"/>
  <c r="S46" i="4"/>
  <c r="T47" i="4"/>
  <c r="U47" i="4"/>
  <c r="T46" i="4"/>
  <c r="S45" i="4"/>
  <c r="S44" i="4"/>
  <c r="T45" i="4"/>
  <c r="U46" i="4"/>
  <c r="V47" i="4"/>
  <c r="W47" i="4"/>
  <c r="V46" i="4"/>
  <c r="U45" i="4"/>
  <c r="T44" i="4"/>
  <c r="S43" i="4"/>
  <c r="S42" i="4"/>
  <c r="T43" i="4"/>
  <c r="U44" i="4"/>
  <c r="V45" i="4"/>
  <c r="W46" i="4"/>
  <c r="X47" i="4"/>
  <c r="Y47" i="4"/>
  <c r="X46" i="4"/>
  <c r="W45" i="4"/>
  <c r="V44" i="4"/>
  <c r="U43" i="4"/>
  <c r="T42" i="4"/>
  <c r="U42" i="4"/>
  <c r="V43" i="4"/>
  <c r="W44" i="4"/>
  <c r="X45" i="4"/>
  <c r="Y46" i="4"/>
  <c r="Z47" i="4"/>
  <c r="AA47" i="4"/>
  <c r="Z46" i="4"/>
  <c r="Y45" i="4"/>
  <c r="X44" i="4"/>
  <c r="W43" i="4"/>
  <c r="V42" i="4"/>
  <c r="W42" i="4"/>
  <c r="X43" i="4"/>
  <c r="Y44" i="4"/>
  <c r="Z45" i="4"/>
  <c r="AA46" i="4"/>
  <c r="AB47" i="4"/>
  <c r="AC47" i="4"/>
  <c r="AB46" i="4"/>
  <c r="AA45" i="4"/>
  <c r="Z44" i="4"/>
  <c r="Y43" i="4"/>
  <c r="X42" i="4"/>
  <c r="Y42" i="4"/>
  <c r="Z43" i="4"/>
  <c r="AA44" i="4"/>
  <c r="AB45" i="4"/>
  <c r="AC46" i="4"/>
  <c r="AC45" i="4"/>
  <c r="AB44" i="4"/>
  <c r="AA43" i="4"/>
  <c r="Z42" i="4"/>
  <c r="AA42" i="4"/>
  <c r="AB43" i="4"/>
  <c r="AC44" i="4"/>
  <c r="AC43" i="4"/>
  <c r="AB42" i="4"/>
  <c r="AC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F124" i="6"/>
  <c r="D4" i="5"/>
  <c r="E4" i="5"/>
  <c r="V13" i="5"/>
  <c r="V14" i="5"/>
  <c r="V15" i="5"/>
  <c r="V16" i="5"/>
  <c r="V17" i="5"/>
  <c r="V18" i="5"/>
  <c r="V19" i="5"/>
  <c r="V20" i="5"/>
  <c r="V21" i="5"/>
  <c r="V22" i="5"/>
  <c r="V23" i="5"/>
  <c r="V24" i="5"/>
  <c r="V25" i="5"/>
  <c r="V26" i="5"/>
  <c r="V27" i="5"/>
  <c r="V28" i="5"/>
  <c r="V29" i="5"/>
  <c r="V30" i="5"/>
  <c r="V31" i="5"/>
  <c r="V32" i="5"/>
  <c r="V33" i="5"/>
  <c r="V34" i="5"/>
  <c r="V35" i="5"/>
  <c r="V36" i="5"/>
  <c r="V37" i="5"/>
  <c r="V38" i="5"/>
  <c r="B39" i="5"/>
  <c r="V39" i="5"/>
  <c r="E39" i="5"/>
  <c r="B40" i="5"/>
  <c r="V40" i="5"/>
  <c r="E40" i="5"/>
  <c r="B41" i="5"/>
  <c r="V41" i="5"/>
  <c r="E41" i="5"/>
  <c r="B42" i="5"/>
  <c r="V42" i="5"/>
  <c r="E42" i="5"/>
  <c r="B43" i="5"/>
  <c r="V43" i="5"/>
  <c r="E43" i="5"/>
  <c r="B44" i="5"/>
  <c r="V44" i="5"/>
  <c r="E44" i="5"/>
  <c r="B45" i="5"/>
  <c r="V45" i="5"/>
  <c r="E45" i="5"/>
  <c r="B46" i="5"/>
  <c r="V46" i="5"/>
  <c r="E46" i="5"/>
  <c r="B47" i="5"/>
  <c r="V47" i="5"/>
  <c r="E47" i="5"/>
  <c r="B48" i="5"/>
  <c r="V48" i="5"/>
  <c r="E48" i="5"/>
  <c r="B49" i="5"/>
  <c r="V49" i="5"/>
  <c r="E49" i="5"/>
  <c r="B50" i="5"/>
  <c r="V50" i="5"/>
  <c r="E50" i="5"/>
  <c r="B51" i="5"/>
  <c r="V51" i="5"/>
  <c r="E51" i="5"/>
  <c r="B52" i="5"/>
  <c r="V52" i="5"/>
  <c r="E52" i="5"/>
  <c r="B53" i="5"/>
  <c r="V53" i="5"/>
  <c r="E53" i="5"/>
  <c r="B54" i="5"/>
  <c r="V54" i="5"/>
  <c r="E54" i="5"/>
  <c r="B55" i="5"/>
  <c r="V55" i="5"/>
  <c r="E55" i="5"/>
  <c r="B56" i="5"/>
  <c r="V56" i="5"/>
  <c r="E56" i="5"/>
  <c r="B57" i="5"/>
  <c r="V57" i="5"/>
  <c r="E57" i="5"/>
  <c r="B58" i="5"/>
  <c r="V58" i="5"/>
  <c r="E58" i="5"/>
  <c r="B59" i="5"/>
  <c r="V59" i="5"/>
  <c r="E59" i="5"/>
  <c r="B60" i="5"/>
  <c r="V60" i="5"/>
  <c r="E60" i="5"/>
  <c r="B61" i="5"/>
  <c r="V61" i="5"/>
  <c r="E61" i="5"/>
  <c r="B62" i="5"/>
  <c r="V62" i="5"/>
  <c r="E62" i="5"/>
  <c r="B63" i="5"/>
  <c r="V63" i="5"/>
  <c r="E63" i="5"/>
  <c r="B64" i="5"/>
  <c r="V64" i="5"/>
  <c r="E64" i="5"/>
  <c r="B65" i="5"/>
  <c r="V65" i="5"/>
  <c r="E65" i="5"/>
  <c r="B66" i="5"/>
  <c r="V66" i="5"/>
  <c r="E66" i="5"/>
  <c r="B67" i="5"/>
  <c r="V67" i="5"/>
  <c r="E67" i="5"/>
  <c r="B68" i="5"/>
  <c r="V68" i="5"/>
  <c r="E68" i="5"/>
  <c r="B69" i="5"/>
  <c r="V69" i="5"/>
  <c r="E69" i="5"/>
  <c r="B70" i="5"/>
  <c r="V70" i="5"/>
  <c r="E70" i="5"/>
  <c r="B71" i="5"/>
  <c r="V71" i="5"/>
  <c r="E71" i="5"/>
  <c r="B72" i="5"/>
  <c r="V72" i="5"/>
  <c r="E72" i="5"/>
  <c r="B73" i="5"/>
  <c r="V73" i="5"/>
  <c r="E73" i="5"/>
  <c r="B74" i="5"/>
  <c r="V74" i="5"/>
  <c r="E74" i="5"/>
  <c r="B75" i="5"/>
  <c r="V75" i="5"/>
  <c r="E75" i="5"/>
  <c r="B76" i="5"/>
  <c r="V76" i="5"/>
  <c r="E76" i="5"/>
  <c r="B77" i="5"/>
  <c r="V77" i="5"/>
  <c r="E77" i="5"/>
  <c r="B78" i="5"/>
  <c r="V78" i="5"/>
  <c r="E78" i="5"/>
  <c r="B79" i="5"/>
  <c r="V79" i="5"/>
  <c r="E79" i="5"/>
  <c r="B80" i="5"/>
  <c r="V80" i="5"/>
  <c r="E80" i="5"/>
  <c r="B81" i="5"/>
  <c r="V81" i="5"/>
  <c r="E81" i="5"/>
  <c r="B82" i="5"/>
  <c r="V82" i="5"/>
  <c r="E82" i="5"/>
  <c r="B83" i="5"/>
  <c r="V83" i="5"/>
  <c r="E83" i="5"/>
  <c r="B84" i="5"/>
  <c r="V84" i="5"/>
  <c r="E84" i="5"/>
  <c r="B85" i="5"/>
  <c r="V85" i="5"/>
  <c r="E85" i="5"/>
  <c r="B86" i="5"/>
  <c r="V86" i="5"/>
  <c r="E86" i="5"/>
  <c r="B87" i="5"/>
  <c r="V87" i="5"/>
  <c r="E87" i="5"/>
  <c r="B88" i="5"/>
  <c r="V88" i="5"/>
  <c r="E88" i="5"/>
  <c r="B89" i="5"/>
  <c r="V89" i="5"/>
  <c r="E89" i="5"/>
  <c r="B90" i="5"/>
  <c r="V90" i="5"/>
  <c r="E90" i="5"/>
  <c r="B91" i="5"/>
  <c r="V91" i="5"/>
  <c r="E91" i="5"/>
  <c r="B92" i="5"/>
  <c r="V92" i="5"/>
  <c r="E92" i="5"/>
  <c r="B93" i="5"/>
  <c r="V93" i="5"/>
  <c r="E93" i="5"/>
  <c r="B94" i="5"/>
  <c r="V94" i="5"/>
  <c r="E94" i="5"/>
  <c r="B95" i="5"/>
  <c r="V95" i="5"/>
  <c r="E95" i="5"/>
  <c r="B96" i="5"/>
  <c r="V96" i="5"/>
  <c r="E96" i="5"/>
  <c r="B97" i="5"/>
  <c r="V97" i="5"/>
  <c r="E97" i="5"/>
  <c r="B98" i="5"/>
  <c r="V98" i="5"/>
  <c r="E98" i="5"/>
  <c r="B99" i="5"/>
  <c r="V99" i="5"/>
  <c r="E99" i="5"/>
  <c r="B100" i="5"/>
  <c r="V100" i="5"/>
  <c r="E100" i="5"/>
  <c r="B101" i="5"/>
  <c r="V101" i="5"/>
  <c r="E101" i="5"/>
  <c r="B102" i="5"/>
  <c r="V102" i="5"/>
  <c r="E102" i="5"/>
  <c r="B103" i="5"/>
  <c r="V103" i="5"/>
  <c r="E103" i="5"/>
  <c r="B104" i="5"/>
  <c r="V104" i="5"/>
  <c r="E104" i="5"/>
  <c r="B105" i="5"/>
  <c r="V105" i="5"/>
  <c r="E105" i="5"/>
  <c r="B106" i="5"/>
  <c r="V106" i="5"/>
  <c r="E106" i="5"/>
  <c r="B107" i="5"/>
  <c r="V107" i="5"/>
  <c r="E107" i="5"/>
  <c r="B108" i="5"/>
  <c r="V108" i="5"/>
  <c r="E108" i="5"/>
  <c r="B109" i="5"/>
  <c r="V109" i="5"/>
  <c r="E109" i="5"/>
  <c r="B110" i="5"/>
  <c r="V110" i="5"/>
  <c r="E110" i="5"/>
  <c r="B111" i="5"/>
  <c r="V111" i="5"/>
  <c r="E111" i="5"/>
  <c r="B112" i="5"/>
  <c r="V112" i="5"/>
  <c r="E112" i="5"/>
  <c r="B113" i="5"/>
  <c r="V113" i="5"/>
  <c r="E113" i="5"/>
  <c r="B114" i="5"/>
  <c r="V114" i="5"/>
  <c r="E114" i="5"/>
  <c r="B115" i="5"/>
  <c r="V115" i="5"/>
  <c r="E115" i="5"/>
  <c r="B116" i="5"/>
  <c r="V116" i="5"/>
  <c r="E116" i="5"/>
  <c r="B117" i="5"/>
  <c r="V117" i="5"/>
  <c r="E117" i="5"/>
  <c r="B118" i="5"/>
  <c r="V118" i="5"/>
  <c r="E118" i="5"/>
  <c r="B119" i="5"/>
  <c r="V119" i="5"/>
  <c r="E119" i="5"/>
  <c r="B120" i="5"/>
  <c r="V120" i="5"/>
  <c r="E120" i="5"/>
  <c r="B121" i="5"/>
  <c r="V121" i="5"/>
  <c r="E121" i="5"/>
  <c r="B122" i="5"/>
  <c r="V122" i="5"/>
  <c r="E122" i="5"/>
  <c r="B123" i="5"/>
  <c r="V123" i="5"/>
  <c r="E123" i="5"/>
  <c r="B124" i="5"/>
  <c r="V124" i="5"/>
  <c r="E124" i="5"/>
  <c r="B125" i="5"/>
  <c r="V125" i="5"/>
  <c r="E125" i="5"/>
  <c r="B126" i="5"/>
  <c r="V126" i="5"/>
  <c r="E126" i="5"/>
  <c r="B127" i="5"/>
  <c r="V127" i="5"/>
  <c r="E127" i="5"/>
  <c r="B128" i="5"/>
  <c r="V128" i="5"/>
  <c r="E128" i="5"/>
  <c r="B129" i="5"/>
  <c r="V129" i="5"/>
  <c r="E129" i="5"/>
  <c r="B130" i="5"/>
  <c r="V130" i="5"/>
  <c r="E130" i="5"/>
  <c r="B131" i="5"/>
  <c r="V131" i="5"/>
  <c r="E131" i="5"/>
  <c r="B132" i="5"/>
  <c r="V132" i="5"/>
  <c r="E132" i="5"/>
  <c r="B133" i="5"/>
  <c r="V133" i="5"/>
  <c r="E133" i="5"/>
  <c r="B134" i="5"/>
  <c r="V134" i="5"/>
  <c r="E134" i="5"/>
  <c r="B135" i="5"/>
  <c r="V135" i="5"/>
  <c r="E135" i="5"/>
  <c r="B136" i="5"/>
  <c r="V136" i="5"/>
  <c r="E136" i="5"/>
  <c r="B137" i="5"/>
  <c r="V137" i="5"/>
  <c r="E137" i="5"/>
  <c r="B138" i="5"/>
  <c r="V138" i="5"/>
  <c r="E138" i="5"/>
  <c r="B139" i="5"/>
  <c r="V139" i="5"/>
  <c r="E139" i="5"/>
  <c r="B140" i="5"/>
  <c r="V140" i="5"/>
  <c r="E140" i="5"/>
  <c r="B141" i="5"/>
  <c r="V141" i="5"/>
  <c r="E141" i="5"/>
  <c r="B142" i="5"/>
  <c r="V142" i="5"/>
  <c r="E142" i="5"/>
  <c r="B143" i="5"/>
  <c r="V143" i="5"/>
  <c r="E143" i="5"/>
  <c r="B144" i="5"/>
  <c r="V144" i="5"/>
  <c r="E144" i="5"/>
  <c r="B145" i="5"/>
  <c r="V145" i="5"/>
  <c r="E145" i="5"/>
  <c r="B146" i="5"/>
  <c r="V146" i="5"/>
  <c r="E146" i="5"/>
  <c r="B147" i="5"/>
  <c r="V147" i="5"/>
  <c r="E147" i="5"/>
  <c r="B148" i="5"/>
  <c r="V148" i="5"/>
  <c r="E148" i="5"/>
  <c r="B149" i="5"/>
  <c r="V149" i="5"/>
  <c r="E149" i="5"/>
  <c r="B150" i="5"/>
  <c r="V150" i="5"/>
  <c r="E150" i="5"/>
  <c r="B151" i="5"/>
  <c r="V151" i="5"/>
  <c r="E151" i="5"/>
  <c r="B152" i="5"/>
  <c r="V152" i="5"/>
  <c r="E152" i="5"/>
  <c r="B153" i="5"/>
  <c r="V153" i="5"/>
  <c r="E153" i="5"/>
  <c r="B154" i="5"/>
  <c r="V154" i="5"/>
  <c r="E154" i="5"/>
  <c r="V155" i="5"/>
  <c r="E155" i="5"/>
  <c r="V156" i="5"/>
  <c r="E156" i="5"/>
  <c r="B157" i="5"/>
  <c r="V157" i="5"/>
  <c r="E157" i="5"/>
  <c r="B158" i="5"/>
  <c r="V158" i="5"/>
  <c r="E158" i="5"/>
  <c r="B159" i="5"/>
  <c r="V159" i="5"/>
  <c r="E159" i="5"/>
  <c r="B160" i="5"/>
  <c r="V160" i="5"/>
  <c r="E160" i="5"/>
  <c r="B161" i="5"/>
  <c r="V161" i="5"/>
  <c r="E161" i="5"/>
  <c r="B162" i="5"/>
  <c r="V162" i="5"/>
  <c r="E162" i="5"/>
  <c r="B163" i="5"/>
  <c r="V163" i="5"/>
  <c r="E163" i="5"/>
  <c r="B164" i="5"/>
  <c r="V164" i="5"/>
  <c r="E164" i="5"/>
  <c r="B165" i="5"/>
  <c r="V165" i="5"/>
  <c r="E165" i="5"/>
  <c r="B166" i="5"/>
  <c r="V166" i="5"/>
  <c r="E166" i="5"/>
  <c r="B167" i="5"/>
  <c r="V167" i="5"/>
  <c r="E167" i="5"/>
  <c r="B168" i="5"/>
  <c r="V168" i="5"/>
  <c r="E168" i="5"/>
  <c r="B169" i="5"/>
  <c r="V169" i="5"/>
  <c r="E169" i="5"/>
  <c r="B170" i="5"/>
  <c r="V170" i="5"/>
  <c r="E170" i="5"/>
  <c r="B171" i="5"/>
  <c r="V171" i="5"/>
  <c r="E171" i="5"/>
  <c r="B172" i="5"/>
  <c r="V172" i="5"/>
  <c r="E172" i="5"/>
  <c r="B173" i="5"/>
  <c r="V173" i="5"/>
  <c r="E173" i="5"/>
  <c r="B174" i="5"/>
  <c r="V174" i="5"/>
  <c r="E174" i="5"/>
  <c r="B175" i="5"/>
  <c r="V175" i="5"/>
  <c r="E175" i="5"/>
  <c r="B176" i="5"/>
  <c r="V176" i="5"/>
  <c r="E176" i="5"/>
  <c r="B177" i="5"/>
  <c r="V177" i="5"/>
  <c r="E177" i="5"/>
  <c r="B178" i="5"/>
  <c r="V178" i="5"/>
  <c r="E178" i="5"/>
  <c r="B179" i="5"/>
  <c r="V179" i="5"/>
  <c r="E179" i="5"/>
  <c r="B180" i="5"/>
  <c r="V180" i="5"/>
  <c r="E180" i="5"/>
  <c r="B181" i="5"/>
  <c r="V181" i="5"/>
  <c r="E181" i="5"/>
  <c r="B182" i="5"/>
  <c r="V182" i="5"/>
  <c r="E182" i="5"/>
  <c r="B183" i="5"/>
  <c r="V183" i="5"/>
  <c r="E183" i="5"/>
  <c r="B184" i="5"/>
  <c r="V184" i="5"/>
  <c r="E184" i="5"/>
  <c r="B185" i="5"/>
  <c r="V185" i="5"/>
  <c r="E185" i="5"/>
  <c r="B186" i="5"/>
  <c r="V186" i="5"/>
  <c r="E186" i="5"/>
  <c r="B187" i="5"/>
  <c r="V187" i="5"/>
  <c r="E187" i="5"/>
  <c r="B188" i="5"/>
  <c r="V188" i="5"/>
  <c r="E188" i="5"/>
  <c r="B189" i="5"/>
  <c r="V189" i="5"/>
  <c r="E189" i="5"/>
  <c r="V190" i="5"/>
  <c r="E190" i="5"/>
  <c r="V191" i="5"/>
  <c r="E191" i="5"/>
  <c r="B192" i="5"/>
  <c r="V192" i="5"/>
  <c r="E192" i="5"/>
  <c r="B193" i="5"/>
  <c r="V193" i="5"/>
  <c r="E193" i="5"/>
  <c r="B194" i="5"/>
  <c r="V194" i="5"/>
  <c r="E194" i="5"/>
  <c r="B195" i="5"/>
  <c r="V195" i="5"/>
  <c r="E195" i="5"/>
  <c r="B196" i="5"/>
  <c r="V196" i="5"/>
  <c r="E196" i="5"/>
  <c r="B197" i="5"/>
  <c r="V197" i="5"/>
  <c r="E197" i="5"/>
  <c r="B198" i="5"/>
  <c r="V198" i="5"/>
  <c r="E198" i="5"/>
  <c r="B199" i="5"/>
  <c r="V199" i="5"/>
  <c r="E199" i="5"/>
  <c r="B200" i="5"/>
  <c r="V200" i="5"/>
  <c r="E200" i="5"/>
  <c r="B201" i="5"/>
  <c r="V201" i="5"/>
  <c r="E201" i="5"/>
  <c r="B202" i="5"/>
  <c r="V202" i="5"/>
  <c r="E202" i="5"/>
  <c r="B203" i="5"/>
  <c r="V203" i="5"/>
  <c r="E203" i="5"/>
  <c r="B204" i="5"/>
  <c r="V204" i="5"/>
  <c r="E204" i="5"/>
  <c r="B205" i="5"/>
  <c r="V205" i="5"/>
  <c r="E205" i="5"/>
  <c r="B206" i="5"/>
  <c r="V206" i="5"/>
  <c r="E206" i="5"/>
  <c r="B207" i="5"/>
  <c r="V207" i="5"/>
  <c r="E207" i="5"/>
  <c r="B208" i="5"/>
  <c r="V208" i="5"/>
  <c r="E208" i="5"/>
  <c r="B209" i="5"/>
  <c r="V209" i="5"/>
  <c r="E209" i="5"/>
  <c r="B210" i="5"/>
  <c r="V210" i="5"/>
  <c r="E210" i="5"/>
  <c r="B211" i="5"/>
  <c r="V211" i="5"/>
  <c r="E211" i="5"/>
  <c r="B212" i="5"/>
  <c r="V212" i="5"/>
  <c r="E212" i="5"/>
  <c r="B213" i="5"/>
  <c r="V213" i="5"/>
  <c r="E213" i="5"/>
  <c r="B214" i="5"/>
  <c r="V214" i="5"/>
  <c r="E214" i="5"/>
  <c r="B215" i="5"/>
  <c r="V215" i="5"/>
  <c r="E215" i="5"/>
  <c r="B216" i="5"/>
  <c r="V216" i="5"/>
  <c r="E216" i="5"/>
  <c r="B217" i="5"/>
  <c r="V217" i="5"/>
  <c r="E217" i="5"/>
  <c r="B218" i="5"/>
  <c r="V218" i="5"/>
  <c r="E218" i="5"/>
  <c r="B219" i="5"/>
  <c r="V219" i="5"/>
  <c r="E219" i="5"/>
  <c r="B220" i="5"/>
  <c r="V220" i="5"/>
  <c r="E220" i="5"/>
  <c r="B221" i="5"/>
  <c r="V221" i="5"/>
  <c r="E221" i="5"/>
  <c r="B222" i="5"/>
  <c r="V222" i="5"/>
  <c r="E222" i="5"/>
  <c r="B223" i="5"/>
  <c r="V223" i="5"/>
  <c r="E223" i="5"/>
  <c r="B224" i="5"/>
  <c r="V224" i="5"/>
  <c r="E224" i="5"/>
  <c r="B225" i="5"/>
  <c r="V225" i="5"/>
  <c r="E225" i="5"/>
  <c r="B226" i="5"/>
  <c r="V226" i="5"/>
  <c r="E226" i="5"/>
  <c r="B227" i="5"/>
  <c r="V227" i="5"/>
  <c r="E227" i="5"/>
  <c r="B228" i="5"/>
  <c r="V228" i="5"/>
  <c r="E228" i="5"/>
  <c r="B229" i="5"/>
  <c r="V229" i="5"/>
  <c r="E229" i="5"/>
  <c r="B230" i="5"/>
  <c r="V230" i="5"/>
  <c r="E230" i="5"/>
  <c r="B231" i="5"/>
  <c r="V231" i="5"/>
  <c r="E231" i="5"/>
  <c r="B232" i="5"/>
  <c r="V232" i="5"/>
  <c r="E232" i="5"/>
  <c r="B233" i="5"/>
  <c r="V233" i="5"/>
  <c r="E233" i="5"/>
  <c r="B234" i="5"/>
  <c r="V234" i="5"/>
  <c r="E234" i="5"/>
  <c r="B235" i="5"/>
  <c r="V235" i="5"/>
  <c r="E235" i="5"/>
  <c r="B236" i="5"/>
  <c r="V236" i="5"/>
  <c r="E236" i="5"/>
  <c r="B237" i="5"/>
  <c r="V237" i="5"/>
  <c r="E237" i="5"/>
  <c r="B238" i="5"/>
  <c r="V238" i="5"/>
  <c r="E238" i="5"/>
  <c r="B239" i="5"/>
  <c r="V239" i="5"/>
  <c r="E239" i="5"/>
  <c r="B240" i="5"/>
  <c r="V240" i="5"/>
  <c r="E240" i="5"/>
  <c r="B241" i="5"/>
  <c r="V241" i="5"/>
  <c r="E241" i="5"/>
  <c r="B242" i="5"/>
  <c r="V242" i="5"/>
  <c r="E242" i="5"/>
  <c r="B243" i="5"/>
  <c r="V243" i="5"/>
  <c r="E243" i="5"/>
  <c r="B244" i="5"/>
  <c r="V244" i="5"/>
  <c r="E244" i="5"/>
  <c r="B245" i="5"/>
  <c r="V245" i="5"/>
  <c r="E245" i="5"/>
  <c r="B246" i="5"/>
  <c r="V246" i="5"/>
  <c r="E246" i="5"/>
  <c r="B247" i="5"/>
  <c r="V247" i="5"/>
  <c r="E247" i="5"/>
  <c r="B248" i="5"/>
  <c r="V248" i="5"/>
  <c r="E248" i="5"/>
  <c r="B249" i="5"/>
  <c r="V249" i="5"/>
  <c r="E249" i="5"/>
  <c r="B250" i="5"/>
  <c r="V250" i="5"/>
  <c r="E250" i="5"/>
  <c r="B251" i="5"/>
  <c r="V251" i="5"/>
  <c r="E251" i="5"/>
  <c r="B252" i="5"/>
  <c r="V252" i="5"/>
  <c r="E252" i="5"/>
  <c r="B253" i="5"/>
  <c r="V253" i="5"/>
  <c r="E253" i="5"/>
  <c r="B254" i="5"/>
  <c r="V254" i="5"/>
  <c r="E254" i="5"/>
  <c r="B255" i="5"/>
  <c r="V255" i="5"/>
  <c r="E255" i="5"/>
  <c r="B256" i="5"/>
  <c r="V256" i="5"/>
  <c r="E256" i="5"/>
  <c r="B257" i="5"/>
  <c r="V257" i="5"/>
  <c r="E257" i="5"/>
  <c r="B258" i="5"/>
  <c r="V258" i="5"/>
  <c r="E258" i="5"/>
  <c r="B259" i="5"/>
  <c r="V259" i="5"/>
  <c r="E259" i="5"/>
  <c r="B260" i="5"/>
  <c r="V260" i="5"/>
  <c r="E260" i="5"/>
  <c r="B261" i="5"/>
  <c r="V261" i="5"/>
  <c r="E261" i="5"/>
  <c r="B262" i="5"/>
  <c r="V262" i="5"/>
  <c r="E262" i="5"/>
  <c r="B263" i="5"/>
  <c r="V263" i="5"/>
  <c r="E263" i="5"/>
  <c r="B264" i="5"/>
  <c r="V264" i="5"/>
  <c r="E264" i="5"/>
  <c r="B265" i="5"/>
  <c r="V265" i="5"/>
  <c r="E265" i="5"/>
  <c r="B266" i="5"/>
  <c r="V266" i="5"/>
  <c r="E266" i="5"/>
  <c r="B267" i="5"/>
  <c r="V267" i="5"/>
  <c r="E267" i="5"/>
  <c r="B268" i="5"/>
  <c r="V268" i="5"/>
  <c r="E268" i="5"/>
  <c r="B269" i="5"/>
  <c r="V269" i="5"/>
  <c r="E269" i="5"/>
  <c r="B270" i="5"/>
  <c r="V270" i="5"/>
  <c r="E270" i="5"/>
  <c r="B271" i="5"/>
  <c r="V271" i="5"/>
  <c r="E271" i="5"/>
  <c r="B272" i="5"/>
  <c r="V272" i="5"/>
  <c r="E272" i="5"/>
  <c r="B273" i="5"/>
  <c r="V273" i="5"/>
  <c r="E273" i="5"/>
  <c r="B274" i="5"/>
  <c r="V274" i="5"/>
  <c r="E274" i="5"/>
  <c r="B275" i="5"/>
  <c r="V275" i="5"/>
  <c r="E275" i="5"/>
  <c r="B276" i="5"/>
  <c r="V276" i="5"/>
  <c r="E276" i="5"/>
  <c r="B277" i="5"/>
  <c r="V277" i="5"/>
  <c r="E277" i="5"/>
  <c r="B278" i="5"/>
  <c r="V278" i="5"/>
  <c r="E278" i="5"/>
  <c r="B279" i="5"/>
  <c r="V279" i="5"/>
  <c r="E279" i="5"/>
  <c r="B280" i="5"/>
  <c r="V280" i="5"/>
  <c r="E280" i="5"/>
  <c r="B281" i="5"/>
  <c r="V281" i="5"/>
  <c r="E281" i="5"/>
  <c r="B282" i="5"/>
  <c r="V282" i="5"/>
  <c r="E282" i="5"/>
  <c r="B283" i="5"/>
  <c r="V283" i="5"/>
  <c r="E283" i="5"/>
  <c r="B284" i="5"/>
  <c r="V284" i="5"/>
  <c r="E284" i="5"/>
  <c r="B285" i="5"/>
  <c r="V285" i="5"/>
  <c r="E285" i="5"/>
  <c r="B286" i="5"/>
  <c r="V286" i="5"/>
  <c r="E286" i="5"/>
  <c r="B287" i="5"/>
  <c r="V287" i="5"/>
  <c r="E287" i="5"/>
  <c r="B288" i="5"/>
  <c r="V288" i="5"/>
  <c r="E288" i="5"/>
  <c r="V289" i="5"/>
  <c r="E289" i="5"/>
  <c r="V290" i="5"/>
  <c r="E290" i="5"/>
  <c r="B291" i="5"/>
  <c r="V291" i="5"/>
  <c r="E291" i="5"/>
  <c r="B292" i="5"/>
  <c r="V292" i="5"/>
  <c r="E292" i="5"/>
  <c r="B293" i="5"/>
  <c r="V293" i="5"/>
  <c r="E293" i="5"/>
  <c r="B294" i="5"/>
  <c r="V294" i="5"/>
  <c r="E294" i="5"/>
  <c r="B295" i="5"/>
  <c r="V295" i="5"/>
  <c r="E295" i="5"/>
  <c r="B296" i="5"/>
  <c r="V296" i="5"/>
  <c r="E296" i="5"/>
  <c r="B297" i="5"/>
  <c r="V297" i="5"/>
  <c r="E297" i="5"/>
  <c r="B298" i="5"/>
  <c r="V298" i="5"/>
  <c r="E298" i="5"/>
  <c r="B299" i="5"/>
  <c r="V299" i="5"/>
  <c r="E299" i="5"/>
  <c r="B300" i="5"/>
  <c r="V300" i="5"/>
  <c r="E300" i="5"/>
  <c r="B301" i="5"/>
  <c r="V301" i="5"/>
  <c r="E301" i="5"/>
  <c r="B302" i="5"/>
  <c r="V302" i="5"/>
  <c r="E302" i="5"/>
  <c r="B303" i="5"/>
  <c r="V303" i="5"/>
  <c r="E303" i="5"/>
  <c r="B304" i="5"/>
  <c r="V304" i="5"/>
  <c r="E304" i="5"/>
  <c r="B305" i="5"/>
  <c r="V305" i="5"/>
  <c r="E305" i="5"/>
  <c r="B306" i="5"/>
  <c r="V306" i="5"/>
  <c r="E306" i="5"/>
  <c r="B307" i="5"/>
  <c r="V307" i="5"/>
  <c r="E307" i="5"/>
  <c r="B308" i="5"/>
  <c r="V308" i="5"/>
  <c r="E308" i="5"/>
  <c r="B309" i="5"/>
  <c r="V309" i="5"/>
  <c r="E309" i="5"/>
  <c r="B310" i="5"/>
  <c r="V310" i="5"/>
  <c r="E310" i="5"/>
  <c r="B311" i="5"/>
  <c r="V311" i="5"/>
  <c r="E311" i="5"/>
  <c r="B312" i="5"/>
  <c r="V312" i="5"/>
  <c r="E312" i="5"/>
  <c r="B313" i="5"/>
  <c r="V313" i="5"/>
  <c r="E313" i="5"/>
  <c r="B314" i="5"/>
  <c r="V314" i="5"/>
  <c r="E314" i="5"/>
  <c r="B315" i="5"/>
  <c r="V315" i="5"/>
  <c r="E315" i="5"/>
  <c r="B316" i="5"/>
  <c r="V316" i="5"/>
  <c r="E316" i="5"/>
  <c r="B317" i="5"/>
  <c r="V317" i="5"/>
  <c r="E317" i="5"/>
  <c r="B318" i="5"/>
  <c r="V318" i="5"/>
  <c r="E318" i="5"/>
  <c r="B319" i="5"/>
  <c r="V319" i="5"/>
  <c r="E319" i="5"/>
  <c r="B320" i="5"/>
  <c r="V320" i="5"/>
  <c r="E320" i="5"/>
  <c r="B321" i="5"/>
  <c r="V321" i="5"/>
  <c r="E321" i="5"/>
  <c r="B322" i="5"/>
  <c r="V322" i="5"/>
  <c r="E322" i="5"/>
  <c r="B323" i="5"/>
  <c r="V323" i="5"/>
  <c r="E323" i="5"/>
  <c r="B324" i="5"/>
  <c r="V324" i="5"/>
  <c r="E324" i="5"/>
  <c r="B325" i="5"/>
  <c r="V325" i="5"/>
  <c r="E325" i="5"/>
  <c r="B326" i="5"/>
  <c r="V326" i="5"/>
  <c r="E326" i="5"/>
  <c r="B327" i="5"/>
  <c r="V327" i="5"/>
  <c r="E327" i="5"/>
  <c r="B328" i="5"/>
  <c r="V328" i="5"/>
  <c r="E328" i="5"/>
  <c r="B329" i="5"/>
  <c r="V329" i="5"/>
  <c r="E329" i="5"/>
  <c r="B330" i="5"/>
  <c r="V330" i="5"/>
  <c r="E330" i="5"/>
  <c r="B331" i="5"/>
  <c r="V331" i="5"/>
  <c r="E331" i="5"/>
  <c r="B332" i="5"/>
  <c r="V332" i="5"/>
  <c r="E332" i="5"/>
  <c r="B333" i="5"/>
  <c r="V333" i="5"/>
  <c r="E333" i="5"/>
  <c r="B334" i="5"/>
  <c r="V334" i="5"/>
  <c r="E334" i="5"/>
  <c r="B335" i="5"/>
  <c r="V335" i="5"/>
  <c r="E335" i="5"/>
  <c r="B336" i="5"/>
  <c r="V336" i="5"/>
  <c r="E336" i="5"/>
  <c r="B337" i="5"/>
  <c r="V337" i="5"/>
  <c r="E337" i="5"/>
  <c r="B338" i="5"/>
  <c r="V338" i="5"/>
  <c r="E338" i="5"/>
  <c r="B339" i="5"/>
  <c r="V339" i="5"/>
  <c r="E339" i="5"/>
  <c r="B340" i="5"/>
  <c r="V340" i="5"/>
  <c r="E340" i="5"/>
  <c r="B341" i="5"/>
  <c r="V341" i="5"/>
  <c r="E341" i="5"/>
  <c r="B342" i="5"/>
  <c r="V342" i="5"/>
  <c r="E342" i="5"/>
  <c r="B343" i="5"/>
  <c r="V343" i="5"/>
  <c r="E343" i="5"/>
  <c r="B344" i="5"/>
  <c r="V344" i="5"/>
  <c r="E344" i="5"/>
  <c r="B345" i="5"/>
  <c r="V345" i="5"/>
  <c r="E345" i="5"/>
  <c r="B346" i="5"/>
  <c r="V346" i="5"/>
  <c r="E346" i="5"/>
  <c r="V347" i="5"/>
  <c r="E347" i="5"/>
  <c r="V348" i="5"/>
  <c r="E348" i="5"/>
  <c r="B349" i="5"/>
  <c r="V349" i="5"/>
  <c r="E349" i="5"/>
  <c r="B350" i="5"/>
  <c r="V350" i="5"/>
  <c r="E350" i="5"/>
  <c r="B351" i="5"/>
  <c r="V351" i="5"/>
  <c r="E351" i="5"/>
  <c r="B352" i="5"/>
  <c r="V352" i="5"/>
  <c r="E352" i="5"/>
  <c r="B353" i="5"/>
  <c r="V353" i="5"/>
  <c r="E353" i="5"/>
  <c r="B354" i="5"/>
  <c r="V354" i="5"/>
  <c r="E354" i="5"/>
  <c r="B355" i="5"/>
  <c r="V355" i="5"/>
  <c r="E355" i="5"/>
  <c r="B356" i="5"/>
  <c r="V356" i="5"/>
  <c r="E356" i="5"/>
  <c r="B357" i="5"/>
  <c r="V357" i="5"/>
  <c r="E357" i="5"/>
  <c r="B358" i="5"/>
  <c r="V358" i="5"/>
  <c r="E358" i="5"/>
  <c r="B359" i="5"/>
  <c r="V359" i="5"/>
  <c r="E359" i="5"/>
  <c r="B360" i="5"/>
  <c r="V360" i="5"/>
  <c r="E360" i="5"/>
  <c r="B361" i="5"/>
  <c r="V361" i="5"/>
  <c r="E361" i="5"/>
  <c r="B362" i="5"/>
  <c r="V362" i="5"/>
  <c r="E362" i="5"/>
  <c r="B363" i="5"/>
  <c r="V363" i="5"/>
  <c r="E363" i="5"/>
  <c r="B364" i="5"/>
  <c r="V364" i="5"/>
  <c r="E364" i="5"/>
  <c r="B365" i="5"/>
  <c r="V365" i="5"/>
  <c r="E365" i="5"/>
  <c r="B366" i="5"/>
  <c r="V366" i="5"/>
  <c r="E366" i="5"/>
  <c r="B367" i="5"/>
  <c r="V367" i="5"/>
  <c r="E367" i="5"/>
  <c r="B368" i="5"/>
  <c r="V368" i="5"/>
  <c r="E368" i="5"/>
  <c r="B369" i="5"/>
  <c r="V369" i="5"/>
  <c r="E369" i="5"/>
  <c r="B370" i="5"/>
  <c r="V370" i="5"/>
  <c r="E370" i="5"/>
  <c r="B371" i="5"/>
  <c r="V371" i="5"/>
  <c r="E371" i="5"/>
  <c r="B372" i="5"/>
  <c r="V372" i="5"/>
  <c r="E372" i="5"/>
  <c r="B373" i="5"/>
  <c r="V373" i="5"/>
  <c r="E373" i="5"/>
  <c r="B374" i="5"/>
  <c r="V374" i="5"/>
  <c r="E374" i="5"/>
  <c r="B375" i="5"/>
  <c r="V375" i="5"/>
  <c r="E375" i="5"/>
  <c r="B376" i="5"/>
  <c r="V376" i="5"/>
  <c r="E376" i="5"/>
  <c r="B377" i="5"/>
  <c r="V377" i="5"/>
  <c r="E377" i="5"/>
  <c r="B378" i="5"/>
  <c r="V378" i="5"/>
  <c r="E378" i="5"/>
  <c r="B379" i="5"/>
  <c r="V379" i="5"/>
  <c r="E379" i="5"/>
  <c r="B380" i="5"/>
  <c r="V380" i="5"/>
  <c r="E380" i="5"/>
  <c r="B381" i="5"/>
  <c r="V381" i="5"/>
  <c r="E381" i="5"/>
  <c r="B382" i="5"/>
  <c r="V382" i="5"/>
  <c r="E382" i="5"/>
  <c r="B383" i="5"/>
  <c r="V383" i="5"/>
  <c r="E383" i="5"/>
  <c r="B384" i="5"/>
  <c r="V384" i="5"/>
  <c r="E384" i="5"/>
  <c r="B385" i="5"/>
  <c r="V385" i="5"/>
  <c r="E385" i="5"/>
  <c r="B386" i="5"/>
  <c r="V386" i="5"/>
  <c r="E386" i="5"/>
  <c r="B387" i="5"/>
  <c r="V387" i="5"/>
  <c r="E387" i="5"/>
  <c r="B388" i="5"/>
  <c r="V388" i="5"/>
  <c r="E388" i="5"/>
  <c r="B389" i="5"/>
  <c r="V389" i="5"/>
  <c r="E389" i="5"/>
  <c r="B390" i="5"/>
  <c r="V390" i="5"/>
  <c r="E390" i="5"/>
  <c r="B391" i="5"/>
  <c r="V391" i="5"/>
  <c r="E391" i="5"/>
  <c r="B392" i="5"/>
  <c r="V392" i="5"/>
  <c r="E392" i="5"/>
  <c r="B393" i="5"/>
  <c r="V393" i="5"/>
  <c r="E393" i="5"/>
  <c r="V394" i="5"/>
  <c r="E394" i="5"/>
  <c r="V395" i="5"/>
  <c r="E395" i="5"/>
  <c r="B396" i="5"/>
  <c r="V396" i="5"/>
  <c r="E396" i="5"/>
  <c r="B397" i="5"/>
  <c r="V397" i="5"/>
  <c r="E397" i="5"/>
  <c r="B398"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E2499" i="5"/>
  <c r="V2504" i="5"/>
  <c r="E2504" i="5"/>
  <c r="G124" i="6" a="1"/>
  <c r="G124" i="6" s="1"/>
  <c r="H124" i="6" s="1"/>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I29" i="6"/>
  <c r="J29" i="6"/>
  <c r="B155" i="5"/>
  <c r="B156" i="5"/>
  <c r="B190" i="5"/>
  <c r="B191" i="5"/>
  <c r="B289" i="5"/>
  <c r="B290" i="5"/>
  <c r="B347" i="5"/>
  <c r="B348" i="5"/>
  <c r="B394" i="5"/>
  <c r="B395"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114" i="6"/>
  <c r="G22" i="6"/>
  <c r="G21" i="6"/>
  <c r="G20" i="6"/>
  <c r="G19" i="6"/>
  <c r="G18" i="6"/>
  <c r="J119" i="6"/>
  <c r="I119" i="6"/>
  <c r="J118" i="6"/>
  <c r="I118" i="6"/>
  <c r="J117" i="6"/>
  <c r="I117" i="6"/>
  <c r="J116" i="6"/>
  <c r="I116" i="6"/>
  <c r="C116" i="6" s="1"/>
  <c r="K114"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C83" i="6" s="1"/>
  <c r="I72" i="6"/>
  <c r="I7" i="6"/>
  <c r="C7" i="6"/>
  <c r="G4" i="6"/>
  <c r="H4" i="6"/>
  <c r="B21" i="13"/>
  <c r="C4" i="8"/>
  <c r="J13" i="5"/>
  <c r="J14" i="5"/>
  <c r="J15" i="5"/>
  <c r="J16" i="5"/>
  <c r="J17" i="5"/>
  <c r="J18" i="5"/>
  <c r="J19" i="5"/>
  <c r="J20" i="5"/>
  <c r="J21" i="5"/>
  <c r="J22" i="5"/>
  <c r="T22" i="5" s="1"/>
  <c r="J23" i="5"/>
  <c r="J24" i="5"/>
  <c r="J25" i="5"/>
  <c r="J26" i="5"/>
  <c r="J27" i="5"/>
  <c r="J28" i="5"/>
  <c r="J29" i="5"/>
  <c r="J30" i="5"/>
  <c r="J31" i="5"/>
  <c r="J32" i="5"/>
  <c r="J33" i="5"/>
  <c r="J34" i="5"/>
  <c r="T34" i="5" s="1"/>
  <c r="J35" i="5"/>
  <c r="J36" i="5"/>
  <c r="J37" i="5"/>
  <c r="J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F114" i="6"/>
  <c r="H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I6" i="6"/>
  <c r="J6" i="6"/>
  <c r="I9" i="6"/>
  <c r="J9" i="6"/>
  <c r="I10" i="6"/>
  <c r="C10" i="6" s="1"/>
  <c r="J10" i="6"/>
  <c r="I11" i="6"/>
  <c r="J11" i="6"/>
  <c r="I12" i="6"/>
  <c r="J12" i="6"/>
  <c r="I13" i="6"/>
  <c r="I15" i="6"/>
  <c r="J15" i="6"/>
  <c r="I17" i="6"/>
  <c r="J17" i="6"/>
  <c r="I18" i="6"/>
  <c r="J18" i="6"/>
  <c r="I19" i="6"/>
  <c r="I20" i="6"/>
  <c r="J20" i="6"/>
  <c r="I28" i="6"/>
  <c r="C28" i="6" s="1"/>
  <c r="J28" i="6"/>
  <c r="I39" i="6"/>
  <c r="J39" i="6"/>
  <c r="I50" i="6"/>
  <c r="J50" i="6"/>
  <c r="I61" i="6"/>
  <c r="J61" i="6"/>
  <c r="J72" i="6"/>
  <c r="J83" i="6"/>
  <c r="I94" i="6"/>
  <c r="J94" i="6"/>
  <c r="I95" i="6"/>
  <c r="J95" i="6"/>
  <c r="I96" i="6"/>
  <c r="J96" i="6"/>
  <c r="I98" i="6"/>
  <c r="C98" i="6" s="1"/>
  <c r="J98" i="6"/>
  <c r="I99" i="6"/>
  <c r="J99" i="6"/>
  <c r="I108" i="6"/>
  <c r="J108" i="6"/>
  <c r="I109" i="6"/>
  <c r="J109" i="6"/>
  <c r="I110" i="6"/>
  <c r="C110" i="6" s="1"/>
  <c r="J110" i="6"/>
  <c r="I111" i="6"/>
  <c r="J111" i="6"/>
  <c r="I114" i="6"/>
  <c r="J114" i="6"/>
  <c r="I115" i="6"/>
  <c r="J115" i="6"/>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4"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5" i="6"/>
  <c r="D13" i="6"/>
  <c r="D12" i="6"/>
  <c r="D11" i="6"/>
  <c r="D10"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I14" i="5"/>
  <c r="H2420" i="5"/>
  <c r="H213" i="5"/>
  <c r="H1180" i="5"/>
  <c r="F1820" i="5"/>
  <c r="F2100" i="5"/>
  <c r="H2468" i="5"/>
  <c r="G21" i="5"/>
  <c r="G14"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C11" i="6"/>
  <c r="P4" i="5"/>
  <c r="D4" i="8"/>
  <c r="B1001" i="7"/>
  <c r="C15" i="6"/>
  <c r="C112" i="6"/>
  <c r="B3" i="6"/>
  <c r="A4" i="8"/>
  <c r="B29" i="3"/>
  <c r="B4" i="8"/>
  <c r="C12" i="6"/>
  <c r="C3" i="6"/>
  <c r="I4" i="8"/>
  <c r="C5" i="7"/>
  <c r="A1" i="6"/>
  <c r="H4" i="5"/>
  <c r="O4" i="5"/>
  <c r="B2" i="5"/>
  <c r="D3" i="6"/>
  <c r="C13" i="6"/>
  <c r="A3" i="6"/>
  <c r="D5" i="7"/>
  <c r="N4" i="5"/>
  <c r="G4" i="5"/>
  <c r="A1" i="7"/>
  <c r="F4" i="5"/>
  <c r="A1" i="8"/>
  <c r="D1" i="6"/>
  <c r="B5" i="7"/>
  <c r="A80" i="2"/>
  <c r="A48" i="2"/>
  <c r="H4" i="8"/>
  <c r="F4" i="8"/>
  <c r="B3" i="5"/>
  <c r="G4" i="8"/>
  <c r="I4" i="5"/>
  <c r="C9" i="6"/>
  <c r="L4" i="5"/>
  <c r="A4" i="5"/>
  <c r="C4" i="6"/>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6" i="6"/>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6" i="6"/>
  <c r="C17"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C39" i="6"/>
  <c r="C61" i="6"/>
  <c r="C72" i="6"/>
  <c r="C50" i="6"/>
  <c r="B2" i="6"/>
  <c r="C124" i="6"/>
  <c r="D98" i="6"/>
  <c r="C114" i="6"/>
  <c r="D114" i="6"/>
  <c r="AA14" i="4" a="1"/>
  <c r="AA14" i="4"/>
  <c r="AA15" i="4" a="1"/>
  <c r="B31" i="4"/>
  <c r="A18" i="6"/>
  <c r="F40" i="6"/>
  <c r="B32" i="4"/>
  <c r="A19" i="6"/>
  <c r="F41" i="6"/>
  <c r="AA15" i="4"/>
  <c r="B33" i="4"/>
  <c r="A20" i="6"/>
  <c r="F42" i="6"/>
  <c r="F18" i="6"/>
  <c r="H18" i="6"/>
  <c r="F19" i="6"/>
  <c r="H19" i="6"/>
  <c r="F20" i="6"/>
  <c r="H20" i="6"/>
  <c r="O33" i="4"/>
  <c r="P57" i="4"/>
  <c r="B123" i="4"/>
  <c r="A101" i="6"/>
  <c r="O32" i="4"/>
  <c r="P56" i="4"/>
  <c r="B122" i="4"/>
  <c r="A100" i="6"/>
  <c r="B105" i="4"/>
  <c r="A86" i="6"/>
  <c r="B104" i="4"/>
  <c r="A85" i="6"/>
  <c r="B93" i="4"/>
  <c r="A75" i="6"/>
  <c r="B92" i="4"/>
  <c r="A74" i="6"/>
  <c r="B81" i="4"/>
  <c r="A64" i="6"/>
  <c r="B80" i="4"/>
  <c r="A63" i="6"/>
  <c r="B69" i="4"/>
  <c r="A53" i="6"/>
  <c r="B68" i="4"/>
  <c r="A52" i="6"/>
  <c r="B57" i="4"/>
  <c r="A42" i="6"/>
  <c r="B56" i="4"/>
  <c r="A41" i="6"/>
  <c r="P45" i="4"/>
  <c r="B45" i="4"/>
  <c r="A31" i="6"/>
  <c r="P44" i="4"/>
  <c r="B44" i="4"/>
  <c r="A30" i="6"/>
  <c r="D20" i="6"/>
  <c r="D19" i="6"/>
  <c r="C19" i="6"/>
  <c r="C20" i="6"/>
  <c r="F116" i="6"/>
  <c r="A116" i="6"/>
  <c r="G116" i="6"/>
  <c r="H116" i="6"/>
  <c r="D116" i="6"/>
  <c r="F117" i="6"/>
  <c r="A117" i="6"/>
  <c r="G117" i="6"/>
  <c r="H117" i="6"/>
  <c r="D117" i="6"/>
  <c r="C117" i="6"/>
  <c r="H41" i="6"/>
  <c r="C41" i="6"/>
  <c r="H42" i="6"/>
  <c r="C42" i="6"/>
  <c r="F52" i="6"/>
  <c r="H52" i="6"/>
  <c r="C52" i="6"/>
  <c r="F53" i="6"/>
  <c r="H53" i="6"/>
  <c r="C53" i="6"/>
  <c r="F63" i="6"/>
  <c r="H63" i="6"/>
  <c r="C63" i="6"/>
  <c r="F64" i="6"/>
  <c r="H64" i="6"/>
  <c r="C64" i="6"/>
  <c r="F74" i="6"/>
  <c r="H74" i="6"/>
  <c r="C74" i="6"/>
  <c r="F75" i="6"/>
  <c r="H75" i="6"/>
  <c r="C75" i="6"/>
  <c r="F85" i="6"/>
  <c r="H85" i="6"/>
  <c r="C85" i="6"/>
  <c r="F86" i="6"/>
  <c r="H86" i="6"/>
  <c r="C86" i="6"/>
  <c r="F100" i="6"/>
  <c r="H100" i="6"/>
  <c r="C100" i="6"/>
  <c r="F101" i="6"/>
  <c r="H101" i="6"/>
  <c r="C101" i="6"/>
  <c r="F30" i="6"/>
  <c r="H30" i="6"/>
  <c r="K116" i="6"/>
  <c r="F31" i="6"/>
  <c r="H31" i="6"/>
  <c r="K117" i="6"/>
  <c r="C30" i="6"/>
  <c r="C31" i="6"/>
  <c r="D30" i="6"/>
  <c r="D31" i="6"/>
  <c r="D41" i="6"/>
  <c r="D42" i="6"/>
  <c r="D52" i="6"/>
  <c r="D53" i="6"/>
  <c r="D63" i="6"/>
  <c r="D64" i="6"/>
  <c r="D74" i="6"/>
  <c r="D75" i="6"/>
  <c r="D85" i="6"/>
  <c r="D86" i="6"/>
  <c r="D100" i="6"/>
  <c r="D101" i="6"/>
  <c r="F51" i="6"/>
  <c r="F62" i="6"/>
  <c r="F73" i="6"/>
  <c r="F84" i="6"/>
  <c r="H84" i="6"/>
  <c r="D84" i="6"/>
  <c r="H73" i="6"/>
  <c r="D73" i="6"/>
  <c r="H62" i="6"/>
  <c r="D62" i="6"/>
  <c r="H51" i="6"/>
  <c r="D51" i="6"/>
  <c r="H40" i="6"/>
  <c r="D40" i="6"/>
  <c r="F29" i="6"/>
  <c r="H29" i="6"/>
  <c r="D29" i="6"/>
  <c r="C29" i="6"/>
  <c r="K115" i="6"/>
  <c r="C84" i="6"/>
  <c r="C73" i="6"/>
  <c r="C62" i="6"/>
  <c r="C51" i="6"/>
  <c r="C40" i="6"/>
  <c r="F99" i="6"/>
  <c r="H99" i="6"/>
  <c r="D99" i="6"/>
  <c r="C99" i="6"/>
  <c r="F115" i="6"/>
  <c r="A115" i="6"/>
  <c r="G115" i="6"/>
  <c r="H115" i="6"/>
  <c r="D115" i="6"/>
  <c r="C115" i="6"/>
  <c r="C18" i="6"/>
  <c r="D18" i="6"/>
  <c r="O31" i="4"/>
  <c r="P43" i="4"/>
  <c r="B43" i="4"/>
  <c r="A29" i="6"/>
  <c r="P55" i="4"/>
  <c r="B55" i="4"/>
  <c r="A40" i="6"/>
  <c r="B67" i="4"/>
  <c r="A51" i="6"/>
  <c r="B79" i="4"/>
  <c r="A62" i="6"/>
  <c r="B91" i="4"/>
  <c r="A73" i="6"/>
  <c r="B103" i="4"/>
  <c r="A84" i="6"/>
  <c r="B121" i="4"/>
  <c r="A99" i="6"/>
  <c r="AA16" i="4" a="1"/>
  <c r="AA16" i="4"/>
  <c r="A118" i="6"/>
  <c r="G118" i="6"/>
  <c r="AA17" i="4" a="1"/>
  <c r="AA17" i="4"/>
  <c r="A119" i="6"/>
  <c r="G119" i="6"/>
  <c r="B34" i="4"/>
  <c r="A21" i="6"/>
  <c r="F43" i="6"/>
  <c r="F118" i="6"/>
  <c r="H118" i="6"/>
  <c r="D118" i="6"/>
  <c r="C118" i="6"/>
  <c r="F21" i="6"/>
  <c r="H21" i="6"/>
  <c r="C21" i="6"/>
  <c r="D21" i="6"/>
  <c r="H43" i="6"/>
  <c r="C43" i="6"/>
  <c r="F54" i="6"/>
  <c r="H54" i="6"/>
  <c r="C54" i="6"/>
  <c r="F65" i="6"/>
  <c r="H65" i="6"/>
  <c r="C65" i="6"/>
  <c r="F76" i="6"/>
  <c r="H76" i="6"/>
  <c r="C76" i="6"/>
  <c r="F87" i="6"/>
  <c r="H87" i="6"/>
  <c r="C87" i="6"/>
  <c r="F102" i="6"/>
  <c r="H102" i="6"/>
  <c r="C102" i="6"/>
  <c r="F32" i="6"/>
  <c r="H32" i="6"/>
  <c r="K118" i="6"/>
  <c r="C32" i="6"/>
  <c r="D32" i="6"/>
  <c r="D43" i="6"/>
  <c r="D54" i="6"/>
  <c r="D65" i="6"/>
  <c r="D76" i="6"/>
  <c r="D87" i="6"/>
  <c r="D102" i="6"/>
  <c r="O34" i="4"/>
  <c r="P46" i="4"/>
  <c r="B46" i="4"/>
  <c r="A32" i="6"/>
  <c r="P58" i="4"/>
  <c r="B58" i="4"/>
  <c r="A43" i="6"/>
  <c r="B70" i="4"/>
  <c r="A54" i="6"/>
  <c r="B82" i="4"/>
  <c r="A65" i="6"/>
  <c r="B94" i="4"/>
  <c r="A76" i="6"/>
  <c r="B106" i="4"/>
  <c r="A87" i="6"/>
  <c r="B124" i="4"/>
  <c r="A102" i="6"/>
  <c r="B35" i="4"/>
  <c r="O35" i="4"/>
  <c r="P59" i="4"/>
  <c r="B125" i="4"/>
  <c r="A103" i="6"/>
  <c r="B107" i="4"/>
  <c r="A88" i="6"/>
  <c r="B95" i="4"/>
  <c r="A77" i="6"/>
  <c r="B83" i="4"/>
  <c r="A66" i="6"/>
  <c r="B71" i="4"/>
  <c r="A55" i="6"/>
  <c r="B59" i="4"/>
  <c r="A44" i="6"/>
  <c r="P47" i="4"/>
  <c r="B47" i="4"/>
  <c r="A33" i="6"/>
  <c r="A22" i="6"/>
  <c r="F22" i="6"/>
  <c r="H22" i="6"/>
  <c r="D22" i="6"/>
  <c r="C22" i="6"/>
  <c r="F33" i="6"/>
  <c r="H33" i="6"/>
  <c r="F44" i="6"/>
  <c r="H44" i="6"/>
  <c r="F55" i="6"/>
  <c r="H55" i="6"/>
  <c r="F66" i="6"/>
  <c r="H66" i="6"/>
  <c r="F77" i="6"/>
  <c r="H77" i="6"/>
  <c r="F88" i="6"/>
  <c r="H88" i="6"/>
  <c r="F94" i="6"/>
  <c r="H94" i="6"/>
  <c r="F95" i="6"/>
  <c r="H95" i="6"/>
  <c r="F96" i="6"/>
  <c r="H96" i="6"/>
  <c r="F103" i="6"/>
  <c r="H103" i="6"/>
  <c r="F108" i="6"/>
  <c r="H108" i="6"/>
  <c r="F109" i="6"/>
  <c r="H109" i="6"/>
  <c r="F110" i="6"/>
  <c r="H110" i="6"/>
  <c r="F111" i="6"/>
  <c r="H111" i="6"/>
  <c r="F119" i="6"/>
  <c r="H119" i="6"/>
  <c r="D119" i="6"/>
  <c r="C119" i="6"/>
  <c r="C95" i="6"/>
  <c r="C96" i="6"/>
  <c r="D96" i="6"/>
  <c r="D109" i="6"/>
  <c r="C108" i="6"/>
  <c r="D94" i="6"/>
  <c r="D95" i="6"/>
  <c r="C111" i="6"/>
  <c r="C109" i="6"/>
  <c r="C94" i="6"/>
  <c r="D110" i="6"/>
  <c r="D111" i="6"/>
  <c r="D108" i="6"/>
  <c r="C44" i="6"/>
  <c r="C55" i="6"/>
  <c r="C66" i="6"/>
  <c r="C77" i="6"/>
  <c r="C88" i="6"/>
  <c r="C103" i="6"/>
  <c r="K119" i="6"/>
  <c r="C33" i="6"/>
  <c r="D33" i="6"/>
  <c r="D44" i="6"/>
  <c r="D55" i="6"/>
  <c r="D66" i="6"/>
  <c r="D77" i="6"/>
  <c r="D88" i="6"/>
  <c r="D103" i="6"/>
  <c r="AA18" i="4" a="1"/>
  <c r="AA18" i="4"/>
  <c r="AA19" i="4" a="1"/>
  <c r="AA19" i="4"/>
  <c r="AA20" i="4" a="1"/>
  <c r="AA20" i="4"/>
  <c r="B38" i="4"/>
  <c r="O38" i="4"/>
  <c r="P62" i="4"/>
  <c r="B128" i="4"/>
  <c r="A106" i="6"/>
  <c r="B110" i="4"/>
  <c r="A91" i="6"/>
  <c r="B98" i="4"/>
  <c r="A80" i="6"/>
  <c r="B86" i="4"/>
  <c r="A69" i="6"/>
  <c r="B74" i="4"/>
  <c r="A58" i="6"/>
  <c r="B62" i="4"/>
  <c r="A47" i="6"/>
  <c r="P50" i="4"/>
  <c r="B50" i="4"/>
  <c r="A36" i="6"/>
  <c r="A25" i="6"/>
  <c r="B37" i="4"/>
  <c r="A24" i="6"/>
  <c r="O37" i="4"/>
  <c r="P49" i="4"/>
  <c r="B49" i="4"/>
  <c r="A35" i="6"/>
  <c r="P61" i="4"/>
  <c r="B61" i="4"/>
  <c r="A46" i="6"/>
  <c r="B73" i="4"/>
  <c r="A57" i="6"/>
  <c r="B85" i="4"/>
  <c r="A68" i="6"/>
  <c r="B97" i="4"/>
  <c r="A79" i="6"/>
  <c r="B109" i="4"/>
  <c r="A90" i="6"/>
  <c r="B127" i="4"/>
  <c r="A105" i="6"/>
  <c r="B36" i="4"/>
  <c r="O36" i="4"/>
  <c r="P60" i="4"/>
  <c r="B126" i="4"/>
  <c r="A104" i="6"/>
  <c r="B108" i="4"/>
  <c r="A89" i="6"/>
  <c r="B96" i="4"/>
  <c r="A78" i="6"/>
  <c r="B84" i="4"/>
  <c r="A67" i="6"/>
  <c r="B72" i="4"/>
  <c r="A56" i="6"/>
  <c r="B60" i="4"/>
  <c r="A45" i="6"/>
  <c r="P48" i="4"/>
  <c r="B48" i="4"/>
  <c r="A34" i="6"/>
  <c r="A23" i="6"/>
  <c r="A120" i="6"/>
  <c r="A121" i="6"/>
  <c r="A122" i="6"/>
  <c r="AA21" i="4" a="1"/>
  <c r="AA21" i="4"/>
  <c r="A123" i="6"/>
  <c r="B39" i="4"/>
  <c r="O39" i="4"/>
  <c r="P63" i="4"/>
  <c r="B129" i="4"/>
  <c r="A107" i="6"/>
  <c r="B111" i="4"/>
  <c r="A92" i="6"/>
  <c r="AA22" i="4"/>
  <c r="AA23" i="4"/>
  <c r="Q53" i="4"/>
  <c r="B101" i="4"/>
  <c r="A82" i="6"/>
  <c r="B99" i="4"/>
  <c r="A81" i="6"/>
  <c r="B89" i="4"/>
  <c r="A71" i="6"/>
  <c r="B87" i="4"/>
  <c r="A70" i="6"/>
  <c r="B77" i="4"/>
  <c r="A60" i="6"/>
  <c r="B75" i="4"/>
  <c r="A59" i="6"/>
  <c r="B65" i="4"/>
  <c r="A49" i="6"/>
  <c r="B63" i="4"/>
  <c r="A48" i="6"/>
  <c r="B53" i="4"/>
  <c r="A38" i="6"/>
  <c r="P51" i="4"/>
  <c r="B51" i="4"/>
  <c r="A37" i="6"/>
  <c r="Q41" i="4"/>
  <c r="B41" i="4"/>
  <c r="A27" i="6" s="1"/>
  <c r="A26" i="6"/>
  <c r="S11" i="5"/>
  <c r="S7" i="5"/>
  <c r="S13" i="5"/>
  <c r="S21" i="5"/>
  <c r="S29" i="5"/>
  <c r="S37" i="5"/>
  <c r="S16" i="5"/>
  <c r="S24" i="5"/>
  <c r="S32" i="5"/>
  <c r="S10" i="5"/>
  <c r="S6" i="5"/>
  <c r="S19" i="5"/>
  <c r="S27" i="5"/>
  <c r="S35" i="5"/>
  <c r="S14" i="5"/>
  <c r="S22" i="5"/>
  <c r="S30" i="5"/>
  <c r="S38" i="5"/>
  <c r="S9" i="5"/>
  <c r="S5" i="5"/>
  <c r="S17" i="5"/>
  <c r="S25" i="5"/>
  <c r="S33" i="5"/>
  <c r="S18" i="5"/>
  <c r="S34" i="5"/>
  <c r="S20" i="5"/>
  <c r="S28" i="5"/>
  <c r="S36" i="5"/>
  <c r="S26" i="5"/>
  <c r="S12" i="5"/>
  <c r="S8" i="5"/>
  <c r="S15" i="5"/>
  <c r="S23" i="5"/>
  <c r="S31" i="5"/>
  <c r="D124" i="6" l="1"/>
  <c r="H125" i="6"/>
  <c r="D2" i="6" s="1"/>
  <c r="G77" i="4"/>
  <c r="D89" i="4"/>
  <c r="G114" i="4"/>
  <c r="D41" i="4"/>
  <c r="D53" i="4"/>
  <c r="D101" i="4"/>
  <c r="G41" i="4"/>
  <c r="G53" i="4"/>
  <c r="G101" i="4"/>
  <c r="D65" i="4"/>
  <c r="D77" i="4"/>
  <c r="T31" i="5"/>
  <c r="T33" i="5"/>
  <c r="T38" i="5"/>
  <c r="T23" i="5"/>
  <c r="T25" i="5"/>
  <c r="T30" i="5"/>
  <c r="T19" i="5"/>
  <c r="T16" i="5"/>
  <c r="T15" i="5"/>
  <c r="T17" i="5"/>
  <c r="T14" i="5"/>
  <c r="T26" i="5"/>
  <c r="T18" i="5"/>
  <c r="T8" i="5"/>
  <c r="T5" i="5"/>
  <c r="T29" i="5"/>
  <c r="T12" i="5"/>
  <c r="T9" i="5"/>
  <c r="T21" i="5"/>
  <c r="T6" i="5"/>
  <c r="T32" i="5"/>
  <c r="T36" i="5"/>
  <c r="T13" i="5"/>
  <c r="T7" i="5"/>
  <c r="T35" i="5"/>
  <c r="T28" i="5"/>
  <c r="T24" i="5"/>
  <c r="T37" i="5"/>
  <c r="T10" i="5"/>
  <c r="T11" i="5"/>
  <c r="T20" i="5"/>
  <c r="T27" i="5"/>
</calcChain>
</file>

<file path=xl/comments1.xml><?xml version="1.0" encoding="utf-8"?>
<comments xmlns="http://schemas.openxmlformats.org/spreadsheetml/2006/main">
  <authors>
    <author>Connors, Jared M</author>
  </authors>
  <commentList>
    <comment ref="I160"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<sst xmlns="http://schemas.openxmlformats.org/spreadsheetml/2006/main" count="28187" uniqueCount="20061">
  <si>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</si>
  <si>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</si>
  <si>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</si>
  <si>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</si>
  <si>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</si>
  <si>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</si>
  <si>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</si>
  <si>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</si>
  <si>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</si>
  <si>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</si>
  <si>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</si>
  <si>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</si>
  <si>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</si>
  <si>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</si>
  <si>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</si>
  <si>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</si>
  <si>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</si>
  <si>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</si>
  <si>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</si>
  <si>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</si>
  <si>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</si>
  <si>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</si>
  <si>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</si>
  <si>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</si>
  <si>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</si>
  <si>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</si>
  <si>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</si>
  <si>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</si>
  <si>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</si>
  <si>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</si>
  <si>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</si>
  <si>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</si>
  <si>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</si>
  <si>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</si>
  <si>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</si>
  <si>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</si>
  <si>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</si>
  <si>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</si>
  <si>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</si>
  <si>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</si>
  <si>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</si>
  <si>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</si>
  <si>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</si>
  <si>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</si>
  <si>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</si>
  <si>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</si>
  <si>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</si>
  <si>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</si>
  <si>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</si>
  <si>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</si>
  <si>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</si>
  <si>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</si>
  <si>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</si>
  <si>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</si>
  <si>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</si>
  <si>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</si>
  <si>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</si>
  <si>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</si>
  <si>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</si>
  <si>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</si>
  <si>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</si>
  <si>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</si>
  <si>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</si>
  <si>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</si>
  <si>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</si>
  <si>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</si>
  <si>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</si>
  <si>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</si>
  <si>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</si>
  <si>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</si>
  <si>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</si>
  <si>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</si>
  <si>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</si>
  <si>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</si>
  <si>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</si>
  <si>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</si>
  <si>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</si>
  <si>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</si>
  <si>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</si>
  <si>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</si>
  <si>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</si>
  <si>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</si>
  <si>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</si>
  <si>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</si>
  <si>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</si>
  <si>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</si>
  <si>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</si>
  <si>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</si>
  <si>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</si>
  <si>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</si>
  <si>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</si>
  <si>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</si>
  <si>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</si>
  <si>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</si>
  <si>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</si>
  <si>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</si>
  <si>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</si>
  <si>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</si>
  <si>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</si>
  <si>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</si>
  <si>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</si>
  <si>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</si>
  <si>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</si>
  <si>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</si>
  <si>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</si>
  <si>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</si>
  <si>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</si>
  <si>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</si>
  <si>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</si>
  <si>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</si>
  <si>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</si>
  <si>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</si>
  <si>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</si>
  <si>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</si>
  <si>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</si>
  <si>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</si>
  <si>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</si>
  <si>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</si>
  <si>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</si>
  <si>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</si>
  <si>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</si>
  <si>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</si>
  <si>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</si>
  <si>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</si>
  <si>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</si>
  <si>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</si>
  <si>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</si>
  <si>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</si>
  <si>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</si>
  <si>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</si>
  <si>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</si>
  <si>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</si>
  <si>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</si>
  <si>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</si>
  <si>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</si>
  <si>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</si>
  <si>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</si>
  <si>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</si>
  <si>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</si>
  <si>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</si>
  <si>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</si>
  <si>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</si>
  <si>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</si>
  <si>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</si>
  <si>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</si>
  <si>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</si>
  <si>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</si>
  <si>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</si>
  <si>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</si>
  <si>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</si>
  <si>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</si>
  <si>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</si>
  <si>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</si>
  <si>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</si>
  <si>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</si>
  <si>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</si>
  <si>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</si>
  <si>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</si>
  <si>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</si>
  <si>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</si>
  <si>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</si>
  <si>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</si>
  <si>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</si>
  <si>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</si>
  <si>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</si>
  <si>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</si>
  <si>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</si>
  <si>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</si>
  <si>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</si>
  <si>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</si>
  <si>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</si>
  <si>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</si>
  <si>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</si>
  <si>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</si>
  <si>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</si>
  <si>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</si>
  <si>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</si>
  <si>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</si>
  <si>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</si>
  <si>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</si>
  <si>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</si>
  <si>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</si>
  <si>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</si>
  <si>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</si>
  <si>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</si>
  <si>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</si>
  <si>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</si>
  <si>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</si>
  <si>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</si>
  <si>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</si>
  <si>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</si>
  <si>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</si>
  <si>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</si>
  <si>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</si>
  <si>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</si>
  <si>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</si>
  <si>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</si>
  <si>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</si>
  <si>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</si>
  <si>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</si>
  <si>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</si>
  <si>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</si>
  <si>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</si>
  <si>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</si>
  <si>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</si>
  <si>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</si>
  <si>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</si>
  <si>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</si>
  <si>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</si>
  <si>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</si>
  <si>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</si>
  <si>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</si>
  <si>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</si>
  <si>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</si>
  <si>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</si>
  <si>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</si>
  <si>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</si>
  <si>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</si>
  <si>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</si>
  <si>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</si>
  <si>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</si>
  <si>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</si>
  <si>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</si>
  <si>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</si>
  <si>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</si>
  <si>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</si>
  <si>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</si>
  <si>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</si>
  <si>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</si>
  <si>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</si>
  <si>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</si>
  <si>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</si>
  <si>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</si>
  <si>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</si>
  <si>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</si>
  <si>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</si>
  <si>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</si>
  <si>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</si>
  <si>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</si>
  <si>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</si>
  <si>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</si>
  <si>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</si>
  <si>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</si>
  <si>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</si>
  <si>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</si>
  <si>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</si>
  <si>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</si>
  <si>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</si>
  <si>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</si>
  <si>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</si>
  <si>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</si>
  <si>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</si>
  <si>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</si>
  <si>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</si>
  <si>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</si>
  <si>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</si>
  <si>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</si>
  <si>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</si>
  <si>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</si>
  <si>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</si>
  <si>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</si>
  <si>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</si>
  <si>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</si>
  <si>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</si>
  <si>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</si>
  <si>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</si>
  <si>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</si>
  <si>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</si>
  <si>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</si>
  <si>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</si>
  <si>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</si>
  <si>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</si>
  <si>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</si>
  <si>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</si>
  <si>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</si>
  <si>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</si>
  <si>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</si>
  <si>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</si>
  <si>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</si>
  <si>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</si>
  <si>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</si>
  <si>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</si>
  <si>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</si>
  <si>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</si>
  <si>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</si>
  <si>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</si>
  <si>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</si>
  <si>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</si>
  <si>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</si>
  <si>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</si>
  <si>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</si>
  <si>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</si>
  <si>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</si>
  <si>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</si>
  <si>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</si>
  <si>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</si>
  <si>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</si>
  <si>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</si>
  <si>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</si>
  <si>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</si>
  <si>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</si>
  <si>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</si>
  <si>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</si>
  <si>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</si>
  <si>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</si>
  <si>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</si>
  <si>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</si>
  <si>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</si>
  <si>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</si>
  <si>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</si>
  <si>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</si>
  <si>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</si>
  <si>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</si>
  <si>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</si>
  <si>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</si>
  <si>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</si>
  <si>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</si>
  <si>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</si>
  <si>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</si>
  <si>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</si>
  <si>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</si>
  <si>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</si>
  <si>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</si>
  <si>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</si>
  <si>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</si>
  <si>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</si>
  <si>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</si>
  <si>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</si>
  <si>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</si>
  <si>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</si>
  <si>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</si>
  <si>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</si>
  <si>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</si>
  <si>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</si>
  <si>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</si>
  <si>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</si>
  <si>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</si>
  <si>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</si>
  <si>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</si>
  <si>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</si>
  <si>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</si>
  <si>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</si>
  <si>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</si>
  <si>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</si>
  <si>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</si>
  <si>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</si>
  <si>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</si>
  <si>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</si>
  <si>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</si>
  <si>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</si>
  <si>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</si>
  <si>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</si>
  <si>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</si>
  <si>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</si>
  <si>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</si>
  <si>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</si>
  <si>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</si>
  <si>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</si>
  <si>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</si>
  <si>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</si>
  <si>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</si>
  <si>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</si>
  <si>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</si>
  <si>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</si>
  <si>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</si>
  <si>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</si>
  <si>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</si>
  <si>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</si>
  <si>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</si>
  <si>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</si>
  <si>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</si>
  <si>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</si>
  <si>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</si>
  <si>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</si>
  <si>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</si>
  <si>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</si>
  <si>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</si>
  <si>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</si>
  <si>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</si>
  <si>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</si>
  <si>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</si>
  <si>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</si>
  <si>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</si>
  <si>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</si>
  <si>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</si>
  <si>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</si>
  <si>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</si>
  <si>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</si>
  <si>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</si>
  <si>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</si>
  <si>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</si>
  <si>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</si>
  <si>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</si>
  <si>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</si>
  <si>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</si>
  <si>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</si>
  <si>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</si>
  <si>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</si>
  <si>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</si>
  <si>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</si>
  <si>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</si>
  <si>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</si>
  <si>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</si>
  <si>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</si>
  <si>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</si>
  <si>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</si>
  <si>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</si>
  <si>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</si>
  <si>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</si>
  <si>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</si>
  <si>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</si>
  <si>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</si>
  <si>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</si>
  <si>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</si>
  <si>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</si>
  <si>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</si>
  <si>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</si>
  <si>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</si>
  <si>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</si>
  <si>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</si>
  <si>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</si>
  <si>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</si>
  <si>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</si>
  <si>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</si>
  <si>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</si>
  <si>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</si>
  <si>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</si>
  <si>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</si>
  <si>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</si>
  <si>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</si>
  <si>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</si>
  <si>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</si>
  <si>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</si>
  <si>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</si>
  <si>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</si>
  <si>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</si>
  <si>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</si>
  <si>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</si>
  <si>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</si>
  <si>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</si>
  <si>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</si>
  <si>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</si>
  <si>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</si>
  <si>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</si>
  <si>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</si>
  <si>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</si>
  <si>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</si>
  <si>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</si>
  <si>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</si>
  <si>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</si>
  <si>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</si>
  <si>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</si>
  <si>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</si>
  <si>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</si>
  <si>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</si>
  <si>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</si>
  <si>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</si>
  <si>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</si>
  <si>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</si>
  <si>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</si>
  <si>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</si>
  <si>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</si>
  <si>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</si>
  <si>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</si>
  <si>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</si>
  <si>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</si>
  <si>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</si>
  <si>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</si>
  <si>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</si>
  <si>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</si>
  <si>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</si>
  <si>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</si>
  <si>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</si>
  <si>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</si>
  <si>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</si>
  <si>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</si>
  <si>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</si>
  <si>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</si>
  <si>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</si>
  <si>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</si>
  <si>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</si>
  <si>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</si>
  <si>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</si>
  <si>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</si>
  <si>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</si>
  <si>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</si>
  <si>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</si>
  <si>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</si>
  <si>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</si>
  <si>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</si>
  <si>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</si>
  <si>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</si>
  <si>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</si>
  <si>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</si>
  <si>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</si>
  <si>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</si>
  <si>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</si>
  <si>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</si>
  <si>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</si>
  <si>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</si>
  <si>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</si>
  <si>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</si>
  <si>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</si>
  <si>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</si>
  <si>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</si>
  <si>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</si>
  <si>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</si>
  <si>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</si>
  <si>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</si>
  <si>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</si>
  <si>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</si>
  <si>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</si>
  <si>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</si>
  <si>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</si>
  <si>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</si>
  <si>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</si>
  <si>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</si>
  <si>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</si>
  <si>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</si>
  <si>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</si>
  <si>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</si>
  <si>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</si>
  <si>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</si>
  <si>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</si>
  <si>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</si>
  <si>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</si>
  <si>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</si>
  <si>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</si>
  <si>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</si>
  <si>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</si>
  <si>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</si>
  <si>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</si>
  <si>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</si>
  <si>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</si>
  <si>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</si>
  <si>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</si>
  <si>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</si>
  <si>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</si>
  <si>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</si>
  <si>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</si>
  <si>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</si>
  <si>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</si>
  <si>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</si>
  <si>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</si>
  <si>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</si>
  <si>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</si>
  <si>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</si>
  <si>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</si>
  <si>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</si>
  <si>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</si>
  <si>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</si>
  <si>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</si>
  <si>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</si>
  <si>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</si>
  <si>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</si>
  <si>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</si>
  <si>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</si>
  <si>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</si>
  <si>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</si>
  <si>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</si>
  <si>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</si>
  <si>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</si>
  <si>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</si>
  <si>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</si>
  <si>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</si>
  <si>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</si>
  <si>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</si>
  <si>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</si>
  <si>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</si>
  <si>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</si>
  <si>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</si>
  <si>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</si>
  <si>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</si>
  <si>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</si>
  <si>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</si>
  <si>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</si>
  <si>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</si>
  <si>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</si>
  <si>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</si>
  <si>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</si>
  <si>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</si>
  <si>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</si>
  <si>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</si>
  <si>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</si>
  <si>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</si>
  <si>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</si>
  <si>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</si>
  <si>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</si>
  <si>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</si>
  <si>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</si>
  <si>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</si>
  <si>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</si>
  <si>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</si>
  <si>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</si>
  <si>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</si>
  <si>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</si>
  <si>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</si>
  <si>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</si>
  <si>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</si>
  <si>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</si>
  <si>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</si>
  <si>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</si>
  <si>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</si>
  <si>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</si>
  <si>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</si>
  <si>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</si>
  <si>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</si>
  <si>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</si>
  <si>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</si>
  <si>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</si>
  <si>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</si>
  <si>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</si>
  <si>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</si>
  <si>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</si>
  <si>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</si>
  <si>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</si>
  <si>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</si>
  <si>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</si>
  <si>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</si>
  <si>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</si>
  <si>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</si>
  <si>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</si>
  <si>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</si>
  <si>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</si>
  <si>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</si>
  <si>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</si>
  <si>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</si>
  <si>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</si>
  <si>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</si>
  <si>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</si>
  <si>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</si>
  <si>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</si>
  <si>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</si>
  <si>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</si>
  <si>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</si>
  <si>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</si>
  <si>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</si>
  <si>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</si>
  <si>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</si>
  <si>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</si>
  <si>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</si>
  <si>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</si>
  <si>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</si>
  <si>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</si>
  <si>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</si>
  <si>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</si>
  <si>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</si>
  <si>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</si>
  <si>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</si>
  <si>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</si>
  <si>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</si>
  <si>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</si>
  <si>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</si>
  <si>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</si>
  <si>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</si>
  <si>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</si>
  <si>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</si>
  <si>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</si>
  <si>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</si>
  <si>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</si>
  <si>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</si>
  <si>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</si>
  <si>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</si>
  <si>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</si>
  <si>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</si>
  <si>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</si>
  <si>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</si>
  <si>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</si>
  <si>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</si>
  <si>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</si>
  <si>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</si>
  <si>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</si>
  <si>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</si>
  <si>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</si>
  <si>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</si>
  <si>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</si>
  <si>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</si>
  <si>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</si>
  <si>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</si>
  <si>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</si>
  <si>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</si>
  <si>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</si>
  <si>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</si>
  <si>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</si>
  <si>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</si>
  <si>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</si>
  <si>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</si>
  <si>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</si>
  <si>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</si>
  <si>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</si>
  <si>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</si>
  <si>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</si>
  <si>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</si>
  <si>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</si>
  <si>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</si>
  <si>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</si>
  <si>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</si>
  <si>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</si>
  <si>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</si>
  <si>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</si>
  <si>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</si>
  <si>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</si>
  <si>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</si>
  <si>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</si>
  <si>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</si>
  <si>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</si>
  <si>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</si>
  <si>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</si>
  <si>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</si>
  <si>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</si>
  <si>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</si>
  <si>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</si>
  <si>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</si>
  <si>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</si>
  <si>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</si>
  <si>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</si>
  <si>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</si>
  <si>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</si>
  <si>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</si>
  <si>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</si>
  <si>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</si>
  <si>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</si>
  <si>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</si>
  <si>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</si>
  <si>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</si>
  <si>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</si>
  <si>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</si>
  <si>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</si>
  <si>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</si>
  <si>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</si>
  <si>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</si>
  <si>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</si>
  <si>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</si>
  <si>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</si>
  <si>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</si>
  <si>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</si>
  <si>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</si>
  <si>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</si>
  <si>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</si>
  <si>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</si>
  <si>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</si>
  <si>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</si>
  <si>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</si>
  <si>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</si>
  <si>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</si>
  <si>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</si>
  <si>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</si>
  <si>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</si>
  <si>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</si>
  <si>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</si>
  <si>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</si>
  <si>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</si>
  <si>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</si>
  <si>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</si>
  <si>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</si>
  <si>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</si>
  <si>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</si>
  <si>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</si>
  <si>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</si>
  <si>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</si>
  <si>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</si>
  <si>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</si>
  <si>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</si>
  <si>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</si>
  <si>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</si>
  <si>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</si>
  <si>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</si>
  <si>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</si>
  <si>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</si>
  <si>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</si>
  <si>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</si>
  <si>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</si>
  <si>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</si>
  <si>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</si>
  <si>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</si>
  <si>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</si>
  <si>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</si>
  <si>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</si>
  <si>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</si>
  <si>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</si>
  <si>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</si>
  <si>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</si>
  <si>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</si>
  <si>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</si>
  <si>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</si>
  <si>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</si>
  <si>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</si>
  <si>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</si>
  <si>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</si>
  <si>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</si>
  <si>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</si>
  <si>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</si>
  <si>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</si>
  <si>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</si>
  <si>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</si>
  <si>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</si>
  <si>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</si>
  <si>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</si>
  <si>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</si>
  <si>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</si>
  <si>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</si>
  <si>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</si>
  <si>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</si>
  <si>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</si>
  <si>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</si>
  <si>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</si>
  <si>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</si>
  <si>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</si>
  <si>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</si>
  <si>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</si>
  <si>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</si>
  <si>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</si>
  <si>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</si>
  <si>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</si>
  <si>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</si>
  <si>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</si>
  <si>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</si>
  <si>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</si>
  <si>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</si>
  <si>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</si>
  <si>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</si>
  <si>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</si>
  <si>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</si>
  <si>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</si>
  <si>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</si>
  <si>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</si>
  <si>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</si>
  <si>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</si>
  <si>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</si>
  <si>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</si>
  <si>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</si>
  <si>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</si>
  <si>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</si>
  <si>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</si>
  <si>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</si>
  <si>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</si>
  <si>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</si>
  <si>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</si>
  <si>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</si>
  <si>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</si>
  <si>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</si>
  <si>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</si>
  <si>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</si>
  <si>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</si>
  <si>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</si>
  <si>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</si>
  <si>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</si>
  <si>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</si>
  <si>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</si>
  <si>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</si>
  <si>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</si>
  <si>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</si>
  <si>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</si>
  <si>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</si>
  <si>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</si>
  <si>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</si>
  <si>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</si>
  <si>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</si>
  <si>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</si>
  <si>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</si>
  <si>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</si>
  <si>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</si>
  <si>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</si>
  <si>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</si>
  <si>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</si>
  <si>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</si>
  <si>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</si>
  <si>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</si>
  <si>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</si>
  <si>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</si>
  <si>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</si>
  <si>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</si>
  <si>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</si>
  <si>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</si>
  <si>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</si>
  <si>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</si>
  <si>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</si>
  <si>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</si>
  <si>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</si>
  <si>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</si>
  <si>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</si>
  <si>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</si>
  <si>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</si>
  <si>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</si>
  <si>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</si>
  <si>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</si>
  <si>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</si>
  <si>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</si>
  <si>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</si>
  <si>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</si>
  <si>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</si>
  <si>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</si>
  <si>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</si>
  <si>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</si>
  <si>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</si>
  <si>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</si>
  <si>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</si>
  <si>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</si>
  <si>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</si>
  <si>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</si>
  <si>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</si>
  <si>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</si>
  <si>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</si>
  <si>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</si>
  <si>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</si>
  <si>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</si>
  <si>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</si>
  <si>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</si>
  <si>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</si>
  <si>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</si>
  <si>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</si>
  <si>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</si>
  <si>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</si>
  <si>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</si>
  <si>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</si>
  <si>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</si>
  <si>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</si>
  <si>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</si>
  <si>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</si>
  <si>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</si>
  <si>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</si>
  <si>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</si>
  <si>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</si>
  <si>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</si>
  <si>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</si>
  <si>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</si>
  <si>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</si>
  <si>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</si>
  <si>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</si>
  <si>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</si>
  <si>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</si>
  <si>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</si>
  <si>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</si>
  <si>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</si>
  <si>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</si>
  <si>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</si>
  <si>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</si>
  <si>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</si>
  <si>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</si>
  <si>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</si>
  <si>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</si>
  <si>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</si>
  <si>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</si>
  <si>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</si>
  <si>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</si>
  <si>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</si>
  <si>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</si>
  <si>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</si>
  <si>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</si>
  <si>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</si>
  <si>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</si>
  <si>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</si>
  <si>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</si>
  <si>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</si>
  <si>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</si>
  <si>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</si>
  <si>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</si>
  <si>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</si>
  <si>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</si>
  <si>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</si>
  <si>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</si>
  <si>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</si>
  <si>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</si>
  <si>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</si>
  <si>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</si>
  <si>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</si>
  <si>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</si>
  <si>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</si>
  <si>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</si>
  <si>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</si>
  <si>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</si>
  <si>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</si>
  <si>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</si>
  <si>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</si>
  <si>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</si>
  <si>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</si>
  <si>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</si>
  <si>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</si>
  <si>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</si>
  <si>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</si>
  <si>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</si>
  <si>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</si>
  <si>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</si>
  <si>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</si>
  <si>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</si>
  <si>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</si>
  <si>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</si>
  <si>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</si>
  <si>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</si>
  <si>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</si>
  <si>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</si>
  <si>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</si>
  <si>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</si>
  <si>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</si>
  <si>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</si>
  <si>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</si>
  <si>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</si>
  <si>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</si>
  <si>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</si>
  <si>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</si>
  <si>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</si>
  <si>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</si>
  <si>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</si>
  <si>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</si>
  <si>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</si>
  <si>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</si>
  <si>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</si>
  <si>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</si>
  <si>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</si>
  <si>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</si>
  <si>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</si>
  <si>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</si>
  <si>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</si>
  <si>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</si>
  <si>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</si>
  <si>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</si>
  <si>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</si>
  <si>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</si>
  <si>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</si>
  <si>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</si>
  <si>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</si>
  <si>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</si>
  <si>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</si>
  <si>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</si>
  <si>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</si>
  <si>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</si>
  <si>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</si>
  <si>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</si>
  <si>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</si>
  <si>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</si>
  <si>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</si>
  <si>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</si>
  <si>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</si>
  <si>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</si>
  <si>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</si>
  <si>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</si>
  <si>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</si>
  <si>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</si>
  <si>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</si>
  <si>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</si>
  <si>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</si>
  <si>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</si>
  <si>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</si>
  <si>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</si>
  <si>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</si>
  <si>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</si>
  <si>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</si>
  <si>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</si>
  <si>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</si>
  <si>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</si>
  <si>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</si>
  <si>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</si>
  <si>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</si>
  <si>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</si>
  <si>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</si>
  <si>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</si>
  <si>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</si>
  <si>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</si>
  <si>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</si>
  <si>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</si>
  <si>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</si>
  <si>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</si>
  <si>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</si>
  <si>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</si>
  <si>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</si>
  <si>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</si>
  <si>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</si>
  <si>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</si>
  <si>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</si>
  <si>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</si>
  <si>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</si>
  <si>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</si>
  <si>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</si>
  <si>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</si>
  <si>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</si>
  <si>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</si>
  <si>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</si>
  <si>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</si>
  <si>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</si>
  <si>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</si>
  <si>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</si>
  <si>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</si>
  <si>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</si>
  <si>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</si>
  <si>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</si>
  <si>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</si>
  <si>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</si>
  <si>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</si>
  <si>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</si>
  <si>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</si>
  <si>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</si>
  <si>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</si>
  <si>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</si>
  <si>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</si>
  <si>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</si>
  <si>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</si>
  <si>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</si>
  <si>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</si>
  <si>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</si>
  <si>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</si>
  <si>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</si>
  <si>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</si>
  <si>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</si>
  <si>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</si>
  <si>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</si>
  <si>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</si>
  <si>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</si>
  <si>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</si>
  <si>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</si>
  <si>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</si>
  <si>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</si>
  <si>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</si>
  <si>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</si>
  <si>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</si>
  <si>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</si>
  <si>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</si>
  <si>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</si>
  <si>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</si>
  <si>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</si>
  <si>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</si>
  <si>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</si>
  <si>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</si>
  <si>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</si>
  <si>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</si>
  <si>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</si>
  <si>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</si>
  <si>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</si>
  <si>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</si>
  <si>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</si>
  <si>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</si>
  <si>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</si>
  <si>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</si>
  <si>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</si>
  <si>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</si>
  <si>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</si>
  <si>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</si>
  <si>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</si>
  <si>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</si>
  <si>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</si>
  <si>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</si>
  <si>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</si>
  <si>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</si>
  <si>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</si>
  <si>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</si>
  <si>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</si>
  <si>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</si>
  <si>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</si>
  <si>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</si>
  <si>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</si>
  <si>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</si>
  <si>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</si>
  <si>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</si>
  <si>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</si>
  <si>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</si>
  <si>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</si>
  <si>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</si>
  <si>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</si>
  <si>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</si>
  <si>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</si>
  <si>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</si>
  <si>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</si>
  <si>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</si>
  <si>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</si>
  <si>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</si>
  <si>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</si>
  <si>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</si>
  <si>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</si>
  <si>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</si>
  <si>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</si>
  <si>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</si>
  <si>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</si>
  <si>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</si>
  <si>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</si>
  <si>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</si>
  <si>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</si>
  <si>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</si>
  <si>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</si>
  <si>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</si>
  <si>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</si>
  <si>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</si>
  <si>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</si>
  <si>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</si>
  <si>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</si>
  <si>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</si>
  <si>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</si>
  <si>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</si>
  <si>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</si>
  <si>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</si>
  <si>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</si>
  <si>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</si>
  <si>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</si>
  <si>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</si>
  <si>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</si>
  <si>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</si>
  <si>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</si>
  <si>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</si>
  <si>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</si>
  <si>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</si>
  <si>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</si>
  <si>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</si>
  <si>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</si>
  <si>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</si>
  <si>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</si>
  <si>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</si>
  <si>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</si>
  <si>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</si>
  <si>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</si>
  <si>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</si>
  <si>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</si>
  <si>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</si>
  <si>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</si>
  <si>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</si>
  <si>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</si>
  <si>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</si>
  <si>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</si>
  <si>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</si>
  <si>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</si>
  <si>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</si>
  <si>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</si>
  <si>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</si>
  <si>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</si>
  <si>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</si>
  <si>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</si>
  <si>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</si>
  <si>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</si>
  <si>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</si>
  <si>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</si>
  <si>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</si>
  <si>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</si>
  <si>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</si>
  <si>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</si>
  <si>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</si>
  <si>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</si>
  <si>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</si>
  <si>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</si>
  <si>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</si>
  <si>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</si>
  <si>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</si>
  <si>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</si>
  <si>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</si>
  <si>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</si>
  <si>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</si>
  <si>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</si>
  <si>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</si>
  <si>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</si>
  <si>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</si>
  <si>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</si>
  <si>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</si>
  <si>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</si>
  <si>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</si>
  <si>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</si>
  <si>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</si>
  <si>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</si>
  <si>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</si>
  <si>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</si>
  <si>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</si>
  <si>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</si>
  <si>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</si>
  <si>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</si>
  <si>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</si>
  <si>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</si>
  <si>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</si>
  <si>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</si>
  <si>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</si>
  <si>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</si>
  <si>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</si>
  <si>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</si>
  <si>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</si>
  <si>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</si>
  <si>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</si>
  <si>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</si>
  <si>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</si>
  <si>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</si>
  <si>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</si>
  <si>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</si>
  <si>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</si>
  <si>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</si>
  <si>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</si>
  <si>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</si>
  <si>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</si>
  <si>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</si>
  <si>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</si>
  <si>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</si>
  <si>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</si>
  <si>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</si>
  <si>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</si>
  <si>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</si>
  <si>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</si>
  <si>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</si>
  <si>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</si>
  <si>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</si>
  <si>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</si>
  <si>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</si>
  <si>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</si>
  <si>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</si>
  <si>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</si>
  <si>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</si>
  <si>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</si>
  <si>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</si>
  <si>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</si>
  <si>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</si>
  <si>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</si>
  <si>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</si>
  <si>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</si>
  <si>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</si>
  <si>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</si>
  <si>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</si>
  <si>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</si>
  <si>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</si>
  <si>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</si>
  <si>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</si>
  <si>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</si>
  <si>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</si>
  <si>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</si>
  <si>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</si>
  <si>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</si>
  <si>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</si>
  <si>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</si>
  <si>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</si>
  <si>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</si>
  <si>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</si>
  <si>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</si>
  <si>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</si>
  <si>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</si>
  <si>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</si>
  <si>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</si>
  <si>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</si>
  <si>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</si>
  <si>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</si>
  <si>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</si>
  <si>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</si>
  <si>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</si>
  <si>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</si>
  <si>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</si>
  <si>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</si>
  <si>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</si>
  <si>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</si>
  <si>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</si>
  <si>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</si>
  <si>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</si>
  <si>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</si>
  <si>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</si>
  <si>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</si>
  <si>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</si>
  <si>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</si>
  <si>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</si>
  <si>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</si>
  <si>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</si>
  <si>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</si>
  <si>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</si>
  <si>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</si>
  <si>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</si>
  <si>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</si>
  <si>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</si>
  <si>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</si>
  <si>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</si>
  <si>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</si>
  <si>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</si>
  <si>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</si>
  <si>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</si>
  <si>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</si>
  <si>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</si>
  <si>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</si>
  <si>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</si>
  <si>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</si>
  <si>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</si>
  <si>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</si>
  <si>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</si>
  <si>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</si>
  <si>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</si>
  <si>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</si>
  <si>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</si>
  <si>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</si>
  <si>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</si>
  <si>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</si>
  <si>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</si>
  <si>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</si>
  <si>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</si>
  <si>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</si>
  <si>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</si>
  <si>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</si>
  <si>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</si>
  <si>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</si>
  <si>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</si>
  <si>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</si>
  <si>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</si>
  <si>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</si>
  <si>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</si>
  <si>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</si>
  <si>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</si>
  <si>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</si>
  <si>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</si>
  <si>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</si>
  <si>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</si>
  <si>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</si>
  <si>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</si>
  <si>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</si>
  <si>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</si>
  <si>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</si>
  <si>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</si>
  <si>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</si>
  <si>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</si>
  <si>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</si>
  <si>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</si>
  <si>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</si>
  <si>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</si>
  <si>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</si>
  <si>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</si>
  <si>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</si>
  <si>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</si>
  <si>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</si>
  <si>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</si>
  <si>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</si>
  <si>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</si>
  <si>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</si>
  <si>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</si>
  <si>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</si>
  <si>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</si>
  <si>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</si>
  <si>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</si>
  <si>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</si>
  <si>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</si>
  <si>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</si>
  <si>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</si>
  <si>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</si>
  <si>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</si>
  <si>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</si>
  <si>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</si>
  <si>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</si>
  <si>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</si>
  <si>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</si>
  <si>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</si>
  <si>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</si>
  <si>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</si>
  <si>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</si>
  <si>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</si>
  <si>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</si>
  <si>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</si>
  <si>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</si>
  <si>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</si>
  <si>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</si>
  <si>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</si>
  <si>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</si>
  <si>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</si>
  <si>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</si>
  <si>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</si>
  <si>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</si>
  <si>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</si>
  <si>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</si>
  <si>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</si>
  <si>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</si>
  <si>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</si>
  <si>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</si>
  <si>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</si>
  <si>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</si>
  <si>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</si>
  <si>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</si>
  <si>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</si>
  <si>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</si>
  <si>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</si>
  <si>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</si>
  <si>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</si>
  <si>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</si>
  <si>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</si>
  <si>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</si>
  <si>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</si>
  <si>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</si>
  <si>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</si>
  <si>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</si>
  <si>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</si>
  <si>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</si>
  <si>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</si>
  <si>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</si>
  <si>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</si>
  <si>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</si>
  <si>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</si>
  <si>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</si>
  <si>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</si>
  <si>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</si>
  <si>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</si>
  <si>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</si>
  <si>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</si>
  <si>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</si>
  <si>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</si>
  <si>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</si>
  <si>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</si>
  <si>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</si>
  <si>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</si>
  <si>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</si>
  <si>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</si>
  <si>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</si>
  <si>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</si>
  <si>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</si>
  <si>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</si>
  <si>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</si>
  <si>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</si>
  <si>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</si>
  <si>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</si>
  <si>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</si>
  <si>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</si>
  <si>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</si>
  <si>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</si>
  <si>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</si>
  <si>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</si>
  <si>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</si>
  <si>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</si>
  <si>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</si>
  <si>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</si>
  <si>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</si>
  <si>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</si>
  <si>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</si>
  <si>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</si>
  <si>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</si>
  <si>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</si>
  <si>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</si>
  <si>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</si>
  <si>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</si>
  <si>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</si>
  <si>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</si>
  <si>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</si>
  <si>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</si>
  <si>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</si>
  <si>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</si>
  <si>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</si>
  <si>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</si>
  <si>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</si>
  <si>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</si>
  <si>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</si>
  <si>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</si>
  <si>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</si>
  <si>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</si>
  <si>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</si>
  <si>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</si>
  <si>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</si>
  <si>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</si>
  <si>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</si>
  <si>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</si>
  <si>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</si>
  <si>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</si>
  <si>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</si>
  <si>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</si>
  <si>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</si>
  <si>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</si>
  <si>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</si>
  <si>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</si>
  <si>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</si>
  <si>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</si>
  <si>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</si>
  <si>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</si>
  <si>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</si>
  <si>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</si>
  <si>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</si>
  <si>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</si>
  <si>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</si>
  <si>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</si>
  <si>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</si>
  <si>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</si>
  <si>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</si>
  <si>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</si>
  <si>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</si>
  <si>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</si>
  <si>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</si>
  <si>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</si>
  <si>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</si>
  <si>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</si>
  <si>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</si>
  <si>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</si>
  <si>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</si>
  <si>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</si>
  <si>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</si>
  <si>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</si>
  <si>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</si>
  <si>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</si>
  <si>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</si>
  <si>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</si>
  <si>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</si>
  <si>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</si>
  <si>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</si>
  <si>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</si>
  <si>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</si>
  <si>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</si>
  <si>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</si>
  <si>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</si>
  <si>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</si>
  <si>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</si>
  <si>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</si>
  <si>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</si>
  <si>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</si>
  <si>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</si>
  <si>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</si>
  <si>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</si>
  <si>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</si>
  <si>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</si>
  <si>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</si>
  <si>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</si>
  <si>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</si>
  <si>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</si>
  <si>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</si>
  <si>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</si>
  <si>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</si>
  <si>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</si>
  <si>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</si>
  <si>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</si>
  <si>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</si>
  <si>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</si>
  <si>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</si>
  <si>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</si>
  <si>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</si>
  <si>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</si>
  <si>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</si>
  <si>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</si>
  <si>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</si>
  <si>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</si>
  <si>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</si>
  <si>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</si>
  <si>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</si>
  <si>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</si>
  <si>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</si>
  <si>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</si>
  <si>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</si>
  <si>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</si>
  <si>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</si>
  <si>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</si>
  <si>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</si>
  <si>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</si>
  <si>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</si>
  <si>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</si>
  <si>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</si>
  <si>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</si>
  <si>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</si>
  <si>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</si>
  <si>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</si>
  <si>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</si>
  <si>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</si>
  <si>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</si>
  <si>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</si>
  <si>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</si>
  <si>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</si>
  <si>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</si>
  <si>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</si>
  <si>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</si>
  <si>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</si>
  <si>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</si>
  <si>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</si>
  <si>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</si>
  <si>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</si>
  <si>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</si>
  <si>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</si>
  <si>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</si>
  <si>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</si>
  <si>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</si>
  <si>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</si>
  <si>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</si>
  <si>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</si>
  <si>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</si>
  <si>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</si>
  <si>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</si>
  <si>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</si>
  <si>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</si>
  <si>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</si>
  <si>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</si>
  <si>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</si>
  <si>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</si>
  <si>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</si>
  <si>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</si>
  <si>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</si>
  <si>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</si>
  <si>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</si>
  <si>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</si>
  <si>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</si>
  <si>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</si>
  <si>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</si>
  <si>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</si>
  <si>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</si>
  <si>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</si>
  <si>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</si>
  <si>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</si>
  <si>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</si>
  <si>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</si>
  <si>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</si>
  <si>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</si>
  <si>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</si>
  <si>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</si>
  <si>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</si>
  <si>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</si>
  <si>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</si>
  <si>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</si>
  <si>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</si>
  <si>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</si>
  <si>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</si>
  <si>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</si>
  <si>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</si>
  <si>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</si>
  <si>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</si>
  <si>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</si>
  <si>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</si>
  <si>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</si>
  <si>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</si>
  <si>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</si>
  <si>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</si>
  <si>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</si>
  <si>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</si>
  <si>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</si>
  <si>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</si>
  <si>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</si>
  <si>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</si>
  <si>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</si>
  <si>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</si>
  <si>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</si>
  <si>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</si>
  <si>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</si>
  <si>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</si>
  <si>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</si>
  <si>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</si>
  <si>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</si>
  <si>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</si>
  <si>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</si>
  <si>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</si>
  <si>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</si>
  <si>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</si>
  <si>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</si>
  <si>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</si>
  <si>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</si>
  <si>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</si>
  <si>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</si>
  <si>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</si>
  <si>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</si>
  <si>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</si>
  <si>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</si>
  <si>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</si>
  <si>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</si>
  <si>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</si>
  <si>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</si>
  <si>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</si>
  <si>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</si>
  <si>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</si>
  <si>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</si>
  <si>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</si>
  <si>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</si>
  <si>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</si>
  <si>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</si>
  <si>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</si>
  <si>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</si>
  <si>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</si>
  <si>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</si>
  <si>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</si>
  <si>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</si>
  <si>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</si>
  <si>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</si>
  <si>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</si>
  <si>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</si>
  <si>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</si>
  <si>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</si>
  <si>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</si>
  <si>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</si>
  <si>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</si>
  <si>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</si>
  <si>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</si>
  <si>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</si>
  <si>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</si>
  <si>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</si>
  <si>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</si>
  <si>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</si>
  <si>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</si>
  <si>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</si>
  <si>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</si>
  <si>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</si>
  <si>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</si>
  <si>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</si>
  <si>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</si>
  <si>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</si>
  <si>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</si>
  <si>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</si>
  <si>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</si>
  <si>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</si>
  <si>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</si>
  <si>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</si>
  <si>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</si>
  <si>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</si>
  <si>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</si>
  <si>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</si>
  <si>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</si>
  <si>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</si>
  <si>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</si>
  <si>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</si>
  <si>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</si>
  <si>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</si>
  <si>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</si>
  <si>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</si>
  <si>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</si>
  <si>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</si>
  <si>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</si>
  <si>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</si>
  <si>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</si>
  <si>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</si>
  <si>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</si>
  <si>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</si>
  <si>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</si>
  <si>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</si>
  <si>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</si>
  <si>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</si>
  <si>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</si>
  <si>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</si>
  <si>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</si>
  <si>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</si>
  <si>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</si>
  <si>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</si>
  <si>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</si>
  <si>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</si>
  <si>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</si>
  <si>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</si>
  <si>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</si>
  <si>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</si>
  <si>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</si>
  <si>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</si>
  <si>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</si>
  <si>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</si>
  <si>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</si>
  <si>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</si>
  <si>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</si>
  <si>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</si>
  <si>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</si>
  <si>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</si>
  <si>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</si>
  <si>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</si>
  <si>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</si>
  <si>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</si>
  <si>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</si>
  <si>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</si>
  <si>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</si>
  <si>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</si>
  <si>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</si>
  <si>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</si>
  <si>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</si>
  <si>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</si>
  <si>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</si>
  <si>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</si>
  <si>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</si>
  <si>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</si>
  <si>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</si>
  <si>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</si>
  <si>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</si>
  <si>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</si>
  <si>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</si>
  <si>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</si>
  <si>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</si>
  <si>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</si>
  <si>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</si>
  <si>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</si>
  <si>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</si>
  <si>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</si>
  <si>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</si>
  <si>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</si>
  <si>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</si>
  <si>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</si>
  <si>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</si>
  <si>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</si>
  <si>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</si>
  <si>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</si>
  <si>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</si>
  <si>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</si>
  <si>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</si>
  <si>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</si>
  <si>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</si>
  <si>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</si>
  <si>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</si>
  <si>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</si>
  <si>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</si>
  <si>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</si>
  <si>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</si>
  <si>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</si>
  <si>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</si>
  <si>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</si>
  <si>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</si>
  <si>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</si>
  <si>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</si>
  <si>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</si>
  <si>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</si>
  <si>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</si>
  <si>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</si>
  <si>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</si>
  <si>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</si>
  <si>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</si>
  <si>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</si>
  <si>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</si>
  <si>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</si>
  <si>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</si>
  <si>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</si>
  <si>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</si>
  <si>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</si>
  <si>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</si>
  <si>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</si>
  <si>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</si>
  <si>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</si>
  <si>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</si>
  <si>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</si>
  <si>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</si>
  <si>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</si>
  <si>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</si>
  <si>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</si>
  <si>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</si>
  <si>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</si>
  <si>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</si>
  <si>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</si>
  <si>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</si>
  <si>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</si>
  <si>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</si>
  <si>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</si>
  <si>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</si>
  <si>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</si>
  <si>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</si>
  <si>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</si>
  <si>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</si>
  <si>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</si>
  <si>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</si>
  <si>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</si>
  <si>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</si>
  <si>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</si>
  <si>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</si>
  <si>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</si>
  <si>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</si>
  <si>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</si>
  <si>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</si>
  <si>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</si>
  <si>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</si>
  <si>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</si>
  <si>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</si>
  <si>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</si>
  <si>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</si>
  <si>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</si>
  <si>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</si>
  <si>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</si>
  <si>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</si>
  <si>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</si>
  <si>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</si>
  <si>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</si>
  <si>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</si>
  <si>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</si>
  <si>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</si>
  <si>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</si>
  <si>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</si>
  <si>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</si>
  <si>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</si>
  <si>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</si>
  <si>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</si>
  <si>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</si>
  <si>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</si>
  <si>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</si>
  <si>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</si>
  <si>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</si>
  <si>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</si>
  <si>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</si>
  <si>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</si>
  <si>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</si>
  <si>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</si>
  <si>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</si>
  <si>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</si>
  <si>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</si>
  <si>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</si>
  <si>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</si>
  <si>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</si>
  <si>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</si>
  <si>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</si>
  <si>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</si>
  <si>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</si>
  <si>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</si>
  <si>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</si>
  <si>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</si>
  <si>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</si>
  <si>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</si>
  <si>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</si>
  <si>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</si>
  <si>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</si>
  <si>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</si>
  <si>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</si>
  <si>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</si>
  <si>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</si>
  <si>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</si>
  <si>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</si>
  <si>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</si>
  <si>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</si>
  <si>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</si>
  <si>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</si>
  <si>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</si>
  <si>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</si>
  <si>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</si>
  <si>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</si>
  <si>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</si>
  <si>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</si>
  <si>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</si>
  <si>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</si>
  <si>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</si>
  <si>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</si>
  <si>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</si>
  <si>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</si>
  <si>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</si>
  <si>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</si>
  <si>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</si>
  <si>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</si>
  <si>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</si>
  <si>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</si>
  <si>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</si>
  <si>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</si>
  <si>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</si>
  <si>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</si>
  <si>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</si>
  <si>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</si>
  <si>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</si>
  <si>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</si>
  <si>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</si>
  <si>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</si>
  <si>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</si>
  <si>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</si>
  <si>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</si>
  <si>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</si>
  <si>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</si>
  <si>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</si>
  <si>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</si>
  <si>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</si>
  <si>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</si>
  <si>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</si>
  <si>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</si>
  <si>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</si>
  <si>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</si>
  <si>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</si>
  <si>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</si>
  <si>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</si>
  <si>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</si>
  <si>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</si>
  <si>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</si>
  <si>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</si>
  <si>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</si>
  <si>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</si>
  <si>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</si>
  <si>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</si>
  <si>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</si>
  <si>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</si>
  <si>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</si>
  <si>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</si>
  <si>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</si>
  <si>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</si>
  <si>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</si>
  <si>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</si>
  <si>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</si>
  <si>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</si>
  <si>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</si>
  <si>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</si>
  <si>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</si>
  <si>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</si>
  <si>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</si>
  <si>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</si>
  <si>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</si>
  <si>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</si>
  <si>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</si>
  <si>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</si>
  <si>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</si>
  <si>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</si>
  <si>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</si>
  <si>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</si>
  <si>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</si>
  <si>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</si>
  <si>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</si>
  <si>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</si>
  <si>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</si>
  <si>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</si>
  <si>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</si>
  <si>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</si>
  <si>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</si>
  <si>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</si>
  <si>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</si>
  <si>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</si>
  <si>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</si>
  <si>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</si>
  <si>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</si>
  <si>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</si>
  <si>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</si>
  <si>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</si>
  <si>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</si>
  <si>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</si>
  <si>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</si>
  <si>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</si>
  <si>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</si>
  <si>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</si>
  <si>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</si>
  <si>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</si>
  <si>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</si>
  <si>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</si>
  <si>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</si>
  <si>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</si>
  <si>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</si>
  <si>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</si>
  <si>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</si>
  <si>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</si>
  <si>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</si>
  <si>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</si>
  <si>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</si>
  <si>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</si>
  <si>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</si>
  <si>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</si>
  <si>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</si>
  <si>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</si>
  <si>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</si>
  <si>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</si>
  <si>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</si>
  <si>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</si>
  <si>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</si>
  <si>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</si>
  <si>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</si>
  <si>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</si>
  <si>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</si>
  <si>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</si>
  <si>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</si>
  <si>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</si>
  <si>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</si>
  <si>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</si>
  <si>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</si>
  <si>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</si>
  <si>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</si>
  <si>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</si>
  <si>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</si>
  <si>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</si>
  <si>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</si>
  <si>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</si>
  <si>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</si>
  <si>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</si>
  <si>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</si>
  <si>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</si>
  <si>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</si>
  <si>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</si>
  <si>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</si>
  <si>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</si>
  <si>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</si>
  <si>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</si>
  <si>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</si>
  <si>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</si>
  <si>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</si>
  <si>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</si>
  <si>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</si>
  <si>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</si>
  <si>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</si>
  <si>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</si>
  <si>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</si>
  <si>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</si>
  <si>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</si>
  <si>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</si>
  <si>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</si>
  <si>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</si>
  <si>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</si>
  <si>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</si>
  <si>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</si>
  <si>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</si>
  <si>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</si>
  <si>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</si>
  <si>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</si>
  <si>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</si>
  <si>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</si>
  <si>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</si>
  <si>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</si>
  <si>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</si>
  <si>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</si>
  <si>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</si>
  <si>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</si>
  <si>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</si>
  <si>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</si>
  <si>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</si>
  <si>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</si>
  <si>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</si>
  <si>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</si>
  <si>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</si>
  <si>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</si>
  <si>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</si>
  <si>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</si>
  <si>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</si>
  <si>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</si>
  <si>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</si>
  <si>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</si>
  <si>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</si>
  <si>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</si>
  <si>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</si>
  <si>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</si>
  <si>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</si>
  <si>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</si>
  <si>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</si>
  <si>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</si>
  <si>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</si>
  <si>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</si>
  <si>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</si>
  <si>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</si>
  <si>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</si>
  <si>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</si>
  <si>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</si>
  <si>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</si>
  <si>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</si>
  <si>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</si>
  <si>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</si>
  <si>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</si>
  <si>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</si>
  <si>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</si>
  <si>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</si>
  <si>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</si>
  <si>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</si>
  <si>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</si>
  <si>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</si>
  <si>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</si>
  <si>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</si>
  <si>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</si>
  <si>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</si>
  <si>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</si>
  <si>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</si>
  <si>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</si>
  <si>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</si>
  <si>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</si>
  <si>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</si>
  <si>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</si>
  <si>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</si>
  <si>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</si>
  <si>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</si>
  <si>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</si>
  <si>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</si>
  <si>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</si>
  <si>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</si>
  <si>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</si>
  <si>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</si>
  <si>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</si>
  <si>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</si>
  <si>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</si>
  <si>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</si>
  <si>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</si>
  <si>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</si>
  <si>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</si>
  <si>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</si>
  <si>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</si>
  <si>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</si>
  <si>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</si>
  <si>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</si>
  <si>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</si>
  <si>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</si>
  <si>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</si>
  <si>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</si>
  <si>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</si>
  <si>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</si>
  <si>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</si>
  <si>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</si>
  <si>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</si>
  <si>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</si>
  <si>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</si>
  <si>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</si>
  <si>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</si>
  <si>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</si>
  <si>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</si>
  <si>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</si>
  <si>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</si>
  <si>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</si>
  <si>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</si>
  <si>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</si>
  <si>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</si>
  <si>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</si>
  <si>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</si>
  <si>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</si>
  <si>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</si>
  <si>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</si>
  <si>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</si>
  <si>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</si>
  <si>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</si>
  <si>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</si>
  <si>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</si>
  <si>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</si>
  <si>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</si>
  <si>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</si>
  <si>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</si>
  <si>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</si>
  <si>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</si>
  <si>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</si>
  <si>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</si>
  <si>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</si>
  <si>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</si>
  <si>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</si>
  <si>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</si>
  <si>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</si>
  <si>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</si>
  <si>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</si>
  <si>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</si>
  <si>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</si>
  <si>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</si>
  <si>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</si>
  <si>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</si>
  <si>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</si>
  <si>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</si>
  <si>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</si>
  <si>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</si>
  <si>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</si>
  <si>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</si>
  <si>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</si>
  <si>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</si>
  <si>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</si>
  <si>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</si>
  <si>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</si>
  <si>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</si>
  <si>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</si>
  <si>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</si>
  <si>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</si>
  <si>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</si>
  <si>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</si>
  <si>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</si>
  <si>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</si>
  <si>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</si>
  <si>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</si>
  <si>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</si>
  <si>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</si>
  <si>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</si>
  <si>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</si>
  <si>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</si>
  <si>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</si>
  <si>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</si>
  <si>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</si>
  <si>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</si>
  <si>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</si>
  <si>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</si>
  <si>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</si>
  <si>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</si>
  <si>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</si>
  <si>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</si>
  <si>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</si>
  <si>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</si>
  <si>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</si>
  <si>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</si>
  <si>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</si>
  <si>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</si>
  <si>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</si>
  <si>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</si>
  <si>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</si>
  <si>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</si>
  <si>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</si>
  <si>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</si>
  <si>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</si>
  <si>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</si>
  <si>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</si>
  <si>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</si>
  <si>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</si>
  <si>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</si>
  <si>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</si>
  <si>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</si>
  <si>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</si>
  <si>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</si>
  <si>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</si>
  <si>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</si>
  <si>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</si>
  <si>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</si>
  <si>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</si>
  <si>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</si>
  <si>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</si>
  <si>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</si>
  <si>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</si>
  <si>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</si>
  <si>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</si>
  <si>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</si>
  <si>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</si>
  <si>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</si>
  <si>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</si>
  <si>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</si>
  <si>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</si>
  <si>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</si>
  <si>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</si>
  <si>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</si>
  <si>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</si>
  <si>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</si>
  <si>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</si>
  <si>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</si>
  <si>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</si>
  <si>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</si>
  <si>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</si>
  <si>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</si>
  <si>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</si>
  <si>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</si>
  <si>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</si>
  <si>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</si>
  <si>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</si>
  <si>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</si>
  <si>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</si>
  <si>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</si>
  <si>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</si>
  <si>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</si>
  <si>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</si>
  <si>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</si>
  <si>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</si>
  <si>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</si>
  <si>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</si>
  <si>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</si>
  <si>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</si>
  <si>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</si>
  <si>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</si>
  <si>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</si>
  <si>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</si>
  <si>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</si>
  <si>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</si>
  <si>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</si>
  <si>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</si>
  <si>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</si>
  <si>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</si>
  <si>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</si>
  <si>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</si>
  <si>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</si>
  <si>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</si>
  <si>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</si>
  <si>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</si>
  <si>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</si>
  <si>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</si>
  <si>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</si>
  <si>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</si>
  <si>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</si>
  <si>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</si>
  <si>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</si>
  <si>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</si>
  <si>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</si>
  <si>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</si>
  <si>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</si>
  <si>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</si>
  <si>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</si>
  <si>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</si>
  <si>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</si>
  <si>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</si>
  <si>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</si>
  <si>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</si>
  <si>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</si>
  <si>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</si>
  <si>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</si>
  <si>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</si>
  <si>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</si>
  <si>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</si>
  <si>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</si>
  <si>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</si>
  <si>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</si>
  <si>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</si>
  <si>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</si>
  <si>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</si>
  <si>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</si>
  <si>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</si>
  <si>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</si>
  <si>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</si>
  <si>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</si>
  <si>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</si>
  <si>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</si>
  <si>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</si>
  <si>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</si>
  <si>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</si>
  <si>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</si>
  <si>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</si>
  <si>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</si>
  <si>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</si>
  <si>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</si>
  <si>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</si>
  <si>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</si>
  <si>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</si>
  <si>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</si>
  <si>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</si>
  <si>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</si>
  <si>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</si>
  <si>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</si>
  <si>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</si>
  <si>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</si>
  <si>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</si>
  <si>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</si>
  <si>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</si>
  <si>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</si>
  <si>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</si>
  <si>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</si>
  <si>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</si>
  <si>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</si>
  <si>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</si>
  <si>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</si>
  <si>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</si>
  <si>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</si>
  <si>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</si>
  <si>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</si>
  <si>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</si>
  <si>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</si>
  <si>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</si>
  <si>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</si>
  <si>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</si>
  <si>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</si>
  <si>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</si>
  <si>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</si>
  <si>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</si>
  <si>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</si>
  <si>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</si>
  <si>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</si>
  <si>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</si>
  <si>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</si>
  <si>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</si>
  <si>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</si>
  <si>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</si>
  <si>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</si>
  <si>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</si>
  <si>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</si>
  <si>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</si>
  <si>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</si>
  <si>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</si>
  <si>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</si>
  <si>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</si>
  <si>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</si>
  <si>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</si>
  <si>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</si>
  <si>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</si>
  <si>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</si>
  <si>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</si>
  <si>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</si>
  <si>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</si>
  <si>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</si>
  <si>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</si>
  <si>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</si>
  <si>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</si>
  <si>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</si>
  <si>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</si>
  <si>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</si>
  <si>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</si>
  <si>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</si>
  <si>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</si>
  <si>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</si>
  <si>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</si>
  <si>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</si>
  <si>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</si>
  <si>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</si>
  <si>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</si>
  <si>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</si>
  <si>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</si>
  <si>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</si>
  <si>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</si>
  <si>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</si>
  <si>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</si>
  <si>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</si>
  <si>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</si>
  <si>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</si>
  <si>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</si>
  <si>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</si>
  <si>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</si>
  <si>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</si>
  <si>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</si>
  <si>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</si>
  <si>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</si>
  <si>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</si>
  <si>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</si>
  <si>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</si>
  <si>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</si>
  <si>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</si>
  <si>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</si>
  <si>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</si>
  <si>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</si>
  <si>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</si>
  <si>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</si>
  <si>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</si>
  <si>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</si>
  <si>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</si>
  <si>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</si>
  <si>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</si>
  <si>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</si>
  <si>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</si>
  <si>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</si>
  <si>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</si>
  <si>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</si>
  <si>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</si>
  <si>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</si>
  <si>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</si>
  <si>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</si>
  <si>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</si>
  <si>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</si>
  <si>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</si>
  <si>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</si>
  <si>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</si>
  <si>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</si>
  <si>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</si>
  <si>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</si>
  <si>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</si>
  <si>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</si>
  <si>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</si>
  <si>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</si>
  <si>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</si>
  <si>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</si>
  <si>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</si>
  <si>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</si>
  <si>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</si>
  <si>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</si>
  <si>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</si>
  <si>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</si>
  <si>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</si>
  <si>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</si>
  <si>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</si>
  <si>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</si>
  <si>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</si>
  <si>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</si>
  <si>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</si>
  <si>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</si>
  <si>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</si>
  <si>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</si>
  <si>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</si>
  <si>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</si>
  <si>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</si>
  <si>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</si>
  <si>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</si>
  <si>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</si>
  <si>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</si>
  <si>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</si>
  <si>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</si>
  <si>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</si>
  <si>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</si>
  <si>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</si>
  <si>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</si>
  <si>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</si>
  <si>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</si>
  <si>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</si>
  <si>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</si>
  <si>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</si>
  <si>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</si>
  <si>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</si>
  <si>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</si>
  <si>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</si>
  <si>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</si>
  <si>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</si>
  <si>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</si>
  <si>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</si>
  <si>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</si>
  <si>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</si>
  <si>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</si>
  <si>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</si>
  <si>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</si>
  <si>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</si>
  <si>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</si>
  <si>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</si>
  <si>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</si>
  <si>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</si>
  <si>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</si>
  <si>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</si>
  <si>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</si>
  <si>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</si>
  <si>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</si>
  <si>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</si>
  <si>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</si>
  <si>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</si>
  <si>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</si>
  <si>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</si>
  <si>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</si>
  <si>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</si>
  <si>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</si>
  <si>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</si>
  <si>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</si>
  <si>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</si>
  <si>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</si>
  <si>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</si>
  <si>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</si>
  <si>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</si>
  <si>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</si>
  <si>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</si>
  <si>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</si>
  <si>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</si>
  <si>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</si>
  <si>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</si>
  <si>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</si>
  <si>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</si>
  <si>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</si>
  <si>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</si>
  <si>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</si>
  <si>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</si>
  <si>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</si>
  <si>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</si>
  <si>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</si>
  <si>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</si>
  <si>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</si>
  <si>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</si>
  <si>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</si>
  <si>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</si>
  <si>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</si>
  <si>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</si>
  <si>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</si>
  <si>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</si>
  <si>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</si>
  <si>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</si>
  <si>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</si>
  <si>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</si>
  <si>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</si>
  <si>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</si>
  <si>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</si>
  <si>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</si>
  <si>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</si>
  <si>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</si>
  <si>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</si>
  <si>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</si>
  <si>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</si>
  <si>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</si>
  <si>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</si>
  <si>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</si>
  <si>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</si>
  <si>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</si>
  <si>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</si>
  <si>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</si>
  <si>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</si>
  <si>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</si>
  <si>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</si>
  <si>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</si>
  <si>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</si>
  <si>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</si>
  <si>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</si>
  <si>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</si>
  <si>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</si>
  <si>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</si>
  <si>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</si>
  <si>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</si>
  <si>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</si>
  <si>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</si>
  <si>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</si>
  <si>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</si>
  <si>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</si>
  <si>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</si>
  <si>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</si>
  <si>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</si>
  <si>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</si>
  <si>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</si>
  <si>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</si>
  <si>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</si>
  <si>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</si>
  <si>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</si>
  <si>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</si>
  <si>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</si>
  <si>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</si>
  <si>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</si>
  <si>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</si>
  <si>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</si>
  <si>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</si>
  <si>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</si>
  <si>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</si>
  <si>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</si>
  <si>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</si>
  <si>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</si>
  <si>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</si>
  <si>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</si>
  <si>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</si>
  <si>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</si>
  <si>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</si>
  <si>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</si>
  <si>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</si>
  <si>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</si>
  <si>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</si>
  <si>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</si>
  <si>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</si>
  <si>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</si>
  <si>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</si>
  <si>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</si>
  <si>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</si>
  <si>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</si>
  <si>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</si>
  <si>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</si>
  <si>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</si>
  <si>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</si>
  <si>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</si>
  <si>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</si>
  <si>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</si>
  <si>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</si>
  <si>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</si>
  <si>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</si>
  <si>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</si>
  <si>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</si>
  <si>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</si>
  <si>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</si>
  <si>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</si>
  <si>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</si>
  <si>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</si>
  <si>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</si>
  <si>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</si>
  <si>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</si>
  <si>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</si>
  <si>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</si>
  <si>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</si>
  <si>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</si>
  <si>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</si>
  <si>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</si>
  <si>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</si>
  <si>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</si>
  <si>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</si>
  <si>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</si>
  <si>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</si>
  <si>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</si>
  <si>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</si>
  <si>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</si>
  <si>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</si>
  <si>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</si>
  <si>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</si>
  <si>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</si>
  <si>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</si>
  <si>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</si>
  <si>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</si>
  <si>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</si>
  <si>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</si>
  <si>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</si>
  <si>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</si>
  <si>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</si>
  <si>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</si>
  <si>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</si>
  <si>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</si>
  <si>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</si>
  <si>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</si>
  <si>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</si>
  <si>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</si>
  <si>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</si>
  <si>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</si>
  <si>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</si>
  <si>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</si>
  <si>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</si>
  <si>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</si>
  <si>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</si>
  <si>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</si>
  <si>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</si>
  <si>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</si>
  <si>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</si>
  <si>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</si>
  <si>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</si>
  <si>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</si>
  <si>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</si>
  <si>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</si>
  <si>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</si>
  <si>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</si>
  <si>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</si>
  <si>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</si>
  <si>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</si>
  <si>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</si>
  <si>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</si>
  <si>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</si>
  <si>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</si>
  <si>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</si>
  <si>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</si>
  <si>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</si>
  <si>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</si>
  <si>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</si>
  <si>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</si>
  <si>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</si>
  <si>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</si>
  <si>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</si>
  <si>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</si>
  <si>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</si>
  <si>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</si>
  <si>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</si>
  <si>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</si>
  <si>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</si>
  <si>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</si>
  <si>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</si>
  <si>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</si>
  <si>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</si>
  <si>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</si>
  <si>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</si>
  <si>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</si>
  <si>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</si>
  <si>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</si>
  <si>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</si>
  <si>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</si>
  <si>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</si>
  <si>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</si>
  <si>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</si>
  <si>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</si>
  <si>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</si>
  <si>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</si>
  <si>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</si>
  <si>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</si>
  <si>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</si>
  <si>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</si>
  <si>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</si>
  <si>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</si>
  <si>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</si>
  <si>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</si>
  <si>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</si>
  <si>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</si>
  <si>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</si>
  <si>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</si>
  <si>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</si>
  <si>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</si>
  <si>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</si>
  <si>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</si>
  <si>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</si>
  <si>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</si>
  <si>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</si>
  <si>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</si>
  <si>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</si>
  <si>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</si>
  <si>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</si>
  <si>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</si>
  <si>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</si>
  <si>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</si>
  <si>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</si>
  <si>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</si>
  <si>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</si>
  <si>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</si>
  <si>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</si>
  <si>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</si>
  <si>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</si>
  <si>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</si>
  <si>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</si>
  <si>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</si>
  <si>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</si>
  <si>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</si>
  <si>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</si>
  <si>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</si>
  <si>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</si>
  <si>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</si>
  <si>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</si>
  <si>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</si>
  <si>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</si>
  <si>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</si>
  <si>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</si>
  <si>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</si>
  <si>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</si>
  <si>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</si>
  <si>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</si>
  <si>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</si>
  <si>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</si>
  <si>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</si>
  <si>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</si>
  <si>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</si>
  <si>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</si>
  <si>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</si>
  <si>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</si>
  <si>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</si>
  <si>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</si>
  <si>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</si>
  <si>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</si>
  <si>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</si>
  <si>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</si>
  <si>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</si>
  <si>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</si>
  <si>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</si>
  <si>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</si>
  <si>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</si>
  <si>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</si>
  <si>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</si>
  <si>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</si>
  <si>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</si>
  <si>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</si>
  <si>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</si>
  <si>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</si>
  <si>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</si>
  <si>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</si>
  <si>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</si>
  <si>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</si>
  <si>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</si>
  <si>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</si>
  <si>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</si>
  <si>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</si>
  <si>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</si>
  <si>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</si>
  <si>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</si>
  <si>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</si>
  <si>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</si>
  <si>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</si>
  <si>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</si>
  <si>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</si>
  <si>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</si>
  <si>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</si>
  <si>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</si>
  <si>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</si>
  <si>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</si>
  <si>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</si>
  <si>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</si>
  <si>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</si>
  <si>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</si>
  <si>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</si>
  <si>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</si>
  <si>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</si>
  <si>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</si>
  <si>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</si>
  <si>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</si>
  <si>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</si>
  <si>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</si>
  <si>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</si>
  <si>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</si>
  <si>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</si>
  <si>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</si>
  <si>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</si>
  <si>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</si>
  <si>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</si>
  <si>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</si>
  <si>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</si>
  <si>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</si>
  <si>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</si>
  <si>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</si>
  <si>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</si>
  <si>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</si>
  <si>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</si>
  <si>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</si>
  <si>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</si>
  <si>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</si>
  <si>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</si>
  <si>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</si>
  <si>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</si>
  <si>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</si>
  <si>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</si>
  <si>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</si>
  <si>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</si>
  <si>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</si>
  <si>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</si>
  <si>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</si>
  <si>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</si>
  <si>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</si>
  <si>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</si>
  <si>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</si>
  <si>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</si>
  <si>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</si>
  <si>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</si>
  <si>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</si>
  <si>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</si>
  <si>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</si>
  <si>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</si>
  <si>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</si>
  <si>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</si>
  <si>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</si>
  <si>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</si>
  <si>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</si>
  <si>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</si>
  <si>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</si>
  <si>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</si>
  <si>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</si>
  <si>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</si>
  <si>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</si>
  <si>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</si>
  <si>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</si>
  <si>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</si>
  <si>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</si>
  <si>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</si>
  <si>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</si>
  <si>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</si>
  <si>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</si>
  <si>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</si>
  <si>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</si>
  <si>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</si>
  <si>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</si>
  <si>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</si>
  <si>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</si>
  <si>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</si>
  <si>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</si>
  <si>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</si>
  <si>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</si>
  <si>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</si>
  <si>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</si>
  <si>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</si>
  <si>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</si>
  <si>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</si>
  <si>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</si>
  <si>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</si>
  <si>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</si>
  <si>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</si>
  <si>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</si>
  <si>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</si>
  <si>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</si>
  <si>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</si>
  <si>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</si>
  <si>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</si>
  <si>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</si>
  <si>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</si>
  <si>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</si>
  <si>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</si>
  <si>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</si>
  <si>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</si>
  <si>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</si>
  <si>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</si>
  <si>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</si>
  <si>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</si>
  <si>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</si>
  <si>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</si>
  <si>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</si>
  <si>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</si>
  <si>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</si>
  <si>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</si>
  <si>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</si>
  <si>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</si>
  <si>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</si>
  <si>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</si>
  <si>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</si>
  <si>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</si>
  <si>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</si>
  <si>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</si>
  <si>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</si>
  <si>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</si>
  <si>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</si>
  <si>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</si>
  <si>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</si>
  <si>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</si>
  <si>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</si>
  <si>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</si>
  <si>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</si>
  <si>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</si>
  <si>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</si>
  <si>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</si>
  <si>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</si>
  <si>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</si>
  <si>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</si>
  <si>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</si>
  <si>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</si>
  <si>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</si>
  <si>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</si>
  <si>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</si>
  <si>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</si>
  <si>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</si>
  <si>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</si>
  <si>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</si>
  <si>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</si>
  <si>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</si>
  <si>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</si>
  <si>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</si>
  <si>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</si>
  <si>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</si>
  <si>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</si>
  <si>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</si>
  <si>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</si>
  <si>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</si>
  <si>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</si>
  <si>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</si>
  <si>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</si>
  <si>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</si>
  <si>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</si>
  <si>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</si>
  <si>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</si>
  <si>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</si>
  <si>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</si>
  <si>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</si>
  <si>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</si>
  <si>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</si>
  <si>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</si>
  <si>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</si>
  <si>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</si>
  <si>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</si>
  <si>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</si>
  <si>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</si>
  <si>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</si>
  <si>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</si>
  <si>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</si>
  <si>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</si>
  <si>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</si>
  <si>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</si>
  <si>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</si>
  <si>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</si>
  <si>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</si>
  <si>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</si>
  <si>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</si>
  <si>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</si>
  <si>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</si>
  <si>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</si>
  <si>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</si>
  <si>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</si>
  <si>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</si>
  <si>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</si>
  <si>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</si>
  <si>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</si>
  <si>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</si>
  <si>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</si>
  <si>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</si>
  <si>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</si>
  <si>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</si>
  <si>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</si>
  <si>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</si>
  <si>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</si>
  <si>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</si>
  <si>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</si>
  <si>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</si>
  <si>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</si>
  <si>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</si>
  <si>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</si>
  <si>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</si>
  <si>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</si>
  <si>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</si>
  <si>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</si>
  <si>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</si>
  <si>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</si>
  <si>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</si>
  <si>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</si>
  <si>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</si>
  <si>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</si>
  <si>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</si>
  <si>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</si>
  <si>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</si>
  <si>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</si>
  <si>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</si>
  <si>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</si>
  <si>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</si>
  <si>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</si>
  <si>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</si>
  <si>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</si>
  <si>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</si>
  <si>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</si>
  <si>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</si>
  <si>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</si>
  <si>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</si>
  <si>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</si>
  <si>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</si>
  <si>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</si>
  <si>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</si>
  <si>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</si>
  <si>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</si>
  <si>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</si>
  <si>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</si>
  <si>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</si>
  <si>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</si>
  <si>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</si>
  <si>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</si>
  <si>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</si>
  <si>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</si>
  <si>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</si>
  <si>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</si>
  <si>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</si>
  <si>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</si>
  <si>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</si>
  <si>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</si>
  <si>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</si>
  <si>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</si>
  <si>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</si>
  <si>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</si>
  <si>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</si>
  <si>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</si>
  <si>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</si>
  <si>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</si>
  <si>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</si>
  <si>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</si>
  <si>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</si>
  <si>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</si>
  <si>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</si>
  <si>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</si>
  <si>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</si>
  <si>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</si>
  <si>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</si>
  <si>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</si>
  <si>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</si>
  <si>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</si>
  <si>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</si>
  <si>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</si>
  <si>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</si>
  <si>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</si>
  <si>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</si>
  <si>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</si>
  <si>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</si>
  <si>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</si>
  <si>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</si>
  <si>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</si>
  <si>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</si>
  <si>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</si>
  <si>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</si>
  <si>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</si>
  <si>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</si>
  <si>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</si>
  <si>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</si>
  <si>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</si>
  <si>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</si>
  <si>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</si>
  <si>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</si>
  <si>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</si>
  <si>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</si>
  <si>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</si>
  <si>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</si>
  <si>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</si>
  <si>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</si>
  <si>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</si>
  <si>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</si>
  <si>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</si>
  <si>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</si>
  <si>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</si>
  <si>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</si>
  <si>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</si>
  <si>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</si>
  <si>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</si>
  <si>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</si>
  <si>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</si>
  <si>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</si>
  <si>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</si>
  <si>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</si>
  <si>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</si>
  <si>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</si>
  <si>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</si>
  <si>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</si>
  <si>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</si>
  <si>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</si>
  <si>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</si>
  <si>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</si>
  <si>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</si>
  <si>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</si>
  <si>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</si>
  <si>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</si>
  <si>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</si>
  <si>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</si>
  <si>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</si>
  <si>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</si>
  <si>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</si>
  <si>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</si>
  <si>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</si>
  <si>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</si>
  <si>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</si>
  <si>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</si>
  <si>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</si>
  <si>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</si>
  <si>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</si>
  <si>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</si>
  <si>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</si>
  <si>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</si>
  <si>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</si>
  <si>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</si>
  <si>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</si>
  <si>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</si>
  <si>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</si>
  <si>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</si>
  <si>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</si>
  <si>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</si>
  <si>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</si>
  <si>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</si>
  <si>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</si>
  <si>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</si>
  <si>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</si>
  <si>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</si>
  <si>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</si>
  <si>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</si>
  <si>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</si>
  <si>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</si>
  <si>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</si>
  <si>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</si>
  <si>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</si>
  <si>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</si>
  <si>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</si>
  <si>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</si>
  <si>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</si>
  <si>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</si>
  <si>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</si>
  <si>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</si>
  <si>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</si>
  <si>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</si>
  <si>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</si>
  <si>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</si>
  <si>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</si>
  <si>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</si>
  <si>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</si>
  <si>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</si>
  <si>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</si>
  <si>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</si>
  <si>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</si>
  <si>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</si>
  <si>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</si>
  <si>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</si>
  <si>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</si>
  <si>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</si>
  <si>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</si>
  <si>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</si>
  <si>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</si>
  <si>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</si>
  <si>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</si>
  <si>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</si>
  <si>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</si>
  <si>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</si>
  <si>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</si>
  <si>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</si>
  <si>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</si>
  <si>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</si>
  <si>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</si>
  <si>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</si>
  <si>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</si>
  <si>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</si>
  <si>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</si>
  <si>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</si>
  <si>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</si>
  <si>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</si>
  <si>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</si>
  <si>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</si>
  <si>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</si>
  <si>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</si>
  <si>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</si>
  <si>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</si>
  <si>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</si>
  <si>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</si>
  <si>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</si>
  <si>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</si>
  <si>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</si>
  <si>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</si>
  <si>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</si>
  <si>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</si>
  <si>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</si>
  <si>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</si>
  <si>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</si>
  <si>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</si>
  <si>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</si>
  <si>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</si>
  <si>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</si>
  <si>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</si>
  <si>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</si>
  <si>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</si>
  <si>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</si>
  <si>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</si>
  <si>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</si>
  <si>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</si>
  <si>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</si>
  <si>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</si>
  <si>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</si>
  <si>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</si>
  <si>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</si>
  <si>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</si>
  <si>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</si>
  <si>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</si>
  <si>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</si>
  <si>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</si>
  <si>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</si>
  <si>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</si>
  <si>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</si>
  <si>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</si>
  <si>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</si>
  <si>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</si>
  <si>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</si>
  <si>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</si>
  <si>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</si>
  <si>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</si>
  <si>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</si>
  <si>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</si>
  <si>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</si>
  <si>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</si>
  <si>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</si>
  <si>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</si>
  <si>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</si>
  <si>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</si>
  <si>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</si>
  <si>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</si>
  <si>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</si>
  <si>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</si>
  <si>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</si>
  <si>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</si>
  <si>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</si>
  <si>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</si>
  <si>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</si>
  <si>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</si>
  <si>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</si>
  <si>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</si>
  <si>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</si>
  <si>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</si>
  <si>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</si>
  <si>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</si>
  <si>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</si>
  <si>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</si>
  <si>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</si>
  <si>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</si>
  <si>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</si>
  <si>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</si>
  <si>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</si>
  <si>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</si>
  <si>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</si>
  <si>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</si>
  <si>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</si>
  <si>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</si>
  <si>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</si>
  <si>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</si>
  <si>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</si>
  <si>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</si>
  <si>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</si>
  <si>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</si>
  <si>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</si>
  <si>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</si>
  <si>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</si>
  <si>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</si>
  <si>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</si>
  <si>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</si>
  <si>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</si>
  <si>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</si>
  <si>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</si>
  <si>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</si>
  <si>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</si>
  <si>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</si>
  <si>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</si>
  <si>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</si>
  <si>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</si>
  <si>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</si>
  <si>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</si>
  <si>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</si>
  <si>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</si>
  <si>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</si>
  <si>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</si>
  <si>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</si>
  <si>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</si>
  <si>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</si>
  <si>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</si>
  <si>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</si>
  <si>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</si>
  <si>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</si>
  <si>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</si>
  <si>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</si>
  <si>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</si>
  <si>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</si>
  <si>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</si>
  <si>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</si>
  <si>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</si>
  <si>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</si>
  <si>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</si>
  <si>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</si>
  <si>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</si>
  <si>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</si>
  <si>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</si>
  <si>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</si>
  <si>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</si>
  <si>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</si>
  <si>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</si>
  <si>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</si>
  <si>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</si>
  <si>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</si>
  <si>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</si>
  <si>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</si>
  <si>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</si>
  <si>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</si>
  <si>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</si>
  <si>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</si>
  <si>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</si>
  <si>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</si>
  <si>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</si>
  <si>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</si>
  <si>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</si>
  <si>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</si>
  <si>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</si>
  <si>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</si>
  <si>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</si>
  <si>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</si>
  <si>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</si>
  <si>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</si>
  <si>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</si>
  <si>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</si>
  <si>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</si>
  <si>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</si>
  <si>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</si>
  <si>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</si>
  <si>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</si>
  <si>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</si>
  <si>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</si>
  <si>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</si>
  <si>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</si>
  <si>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</si>
  <si>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</si>
  <si>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</si>
  <si>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</si>
  <si>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</si>
  <si>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</si>
  <si>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</si>
  <si>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</si>
  <si>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</si>
  <si>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</si>
  <si>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</si>
  <si>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</si>
  <si>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</si>
  <si>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</si>
  <si>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</si>
  <si>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</si>
  <si>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</si>
  <si>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</si>
  <si>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</si>
  <si>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</si>
  <si>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</si>
  <si>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</si>
  <si>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</si>
  <si>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</si>
  <si>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</si>
  <si>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</si>
  <si>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</si>
  <si>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</si>
  <si>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</si>
  <si>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</si>
  <si>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</si>
  <si>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</si>
  <si>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</si>
  <si>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</si>
  <si>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</si>
  <si>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</si>
  <si>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</si>
  <si>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</si>
  <si>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</si>
  <si>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</si>
  <si>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</si>
  <si>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</si>
  <si>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</si>
  <si>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</si>
  <si>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</si>
  <si>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</si>
  <si>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</si>
  <si>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</si>
  <si>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</si>
  <si>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</si>
  <si>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</si>
  <si>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</si>
  <si>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</si>
  <si>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</si>
  <si>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</si>
  <si>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</si>
  <si>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</si>
  <si>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</si>
  <si>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</si>
  <si>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</si>
  <si>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</si>
  <si>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</si>
  <si>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</si>
  <si>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</si>
  <si>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</si>
  <si>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</si>
  <si>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</si>
  <si>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</si>
  <si>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</si>
  <si>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</si>
  <si>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</si>
  <si>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</si>
  <si>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</si>
  <si>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</si>
  <si>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</si>
  <si>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</si>
  <si>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</si>
  <si>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</si>
  <si>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</si>
  <si>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</si>
  <si>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</si>
  <si>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</si>
  <si>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</si>
  <si>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</si>
  <si>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</si>
  <si>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</si>
  <si>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</si>
  <si>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</si>
  <si>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</si>
  <si>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</si>
  <si>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</si>
  <si>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</si>
  <si>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</si>
  <si>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</si>
  <si>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</si>
  <si>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</si>
  <si>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</si>
  <si>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</si>
  <si>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</si>
  <si>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</si>
  <si>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</si>
  <si>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</si>
  <si>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</si>
  <si>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</si>
  <si>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</si>
  <si>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</si>
  <si>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</si>
  <si>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</si>
  <si>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</si>
  <si>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</si>
  <si>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</si>
  <si>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</si>
  <si>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</si>
  <si>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</si>
  <si>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</si>
  <si>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</si>
  <si>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</si>
  <si>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</si>
  <si>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</si>
  <si>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</si>
  <si>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</si>
  <si>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</si>
  <si>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</si>
  <si>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</si>
  <si>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</si>
  <si>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</si>
  <si>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</si>
  <si>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</si>
  <si>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</si>
  <si>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</si>
  <si>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</si>
  <si>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</si>
  <si>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</si>
  <si>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</si>
  <si>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</si>
  <si>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</si>
  <si>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</si>
  <si>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</si>
  <si>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</si>
  <si>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</si>
  <si>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</si>
  <si>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</si>
  <si>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</si>
  <si>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</si>
  <si>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</si>
  <si>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</si>
  <si>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</si>
  <si>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</si>
  <si>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</si>
  <si>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</si>
  <si>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</si>
  <si>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</si>
  <si>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</si>
  <si>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</si>
  <si>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</si>
  <si>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</si>
  <si>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</si>
  <si>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</si>
  <si>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</si>
  <si>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</si>
  <si>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</si>
  <si>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</si>
  <si>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</si>
  <si>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</si>
  <si>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</si>
  <si>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</si>
  <si>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</si>
  <si>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</si>
  <si>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</si>
  <si>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</si>
  <si>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</si>
  <si>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</si>
  <si>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</si>
  <si>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</si>
  <si>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</si>
  <si>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</si>
  <si>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</si>
  <si>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</si>
  <si>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</si>
  <si>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</si>
  <si>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</si>
  <si>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</si>
  <si>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</si>
  <si>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</si>
  <si>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</si>
  <si>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</si>
  <si>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</si>
  <si>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</si>
  <si>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</si>
  <si>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</si>
  <si>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</si>
  <si>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</si>
  <si>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</si>
  <si>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</si>
  <si>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</si>
  <si>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</si>
  <si>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</si>
  <si>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</si>
  <si>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</si>
  <si>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</si>
  <si>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</si>
  <si>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</si>
  <si>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</si>
  <si>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</si>
  <si>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</si>
  <si>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</si>
  <si>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</si>
  <si>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</si>
  <si>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</si>
  <si>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</si>
  <si>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</si>
  <si>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</si>
  <si>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</si>
  <si>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</si>
  <si>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</si>
  <si>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</si>
  <si>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</si>
  <si>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</si>
  <si>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</si>
  <si>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</si>
  <si>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</si>
  <si>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</si>
  <si>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</si>
  <si>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</si>
  <si>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</si>
  <si>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</si>
  <si>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</si>
  <si>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</si>
  <si>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</si>
  <si>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</si>
  <si>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</si>
  <si>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</si>
  <si>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</si>
  <si>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</si>
  <si>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</si>
  <si>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</si>
  <si>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</si>
  <si>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</si>
  <si>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</si>
  <si>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</si>
  <si>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</si>
  <si>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</si>
  <si>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</si>
  <si>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</si>
  <si>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</si>
  <si>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</si>
  <si>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</si>
  <si>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</si>
  <si>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</si>
  <si>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</si>
  <si>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</si>
  <si>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</si>
  <si>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</si>
  <si>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</si>
  <si>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</si>
  <si>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</si>
  <si>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</si>
  <si>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</si>
  <si>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</si>
  <si>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</si>
  <si>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</si>
  <si>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</si>
  <si>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</si>
  <si>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</si>
  <si>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</si>
  <si>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</si>
  <si>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</si>
  <si>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</si>
  <si>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</si>
  <si>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</si>
  <si>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</si>
  <si>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</si>
  <si>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</si>
  <si>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</si>
  <si>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</si>
  <si>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</si>
  <si>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</si>
  <si>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</si>
  <si>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</si>
  <si>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</si>
  <si>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</si>
  <si>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</si>
  <si>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</si>
  <si>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</si>
  <si>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</si>
  <si>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</si>
  <si>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</si>
  <si>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</si>
  <si>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</si>
  <si>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</si>
  <si>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</si>
  <si>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</si>
  <si>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</si>
  <si>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</si>
  <si>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</si>
  <si>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</si>
  <si>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</si>
  <si>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</si>
  <si>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</si>
  <si>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</si>
  <si>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</si>
  <si>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</si>
  <si>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</si>
  <si>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</si>
  <si>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</si>
  <si>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</si>
  <si>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</si>
  <si>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</si>
  <si>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</si>
  <si>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</si>
  <si>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</si>
  <si>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</si>
  <si>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</si>
  <si>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</si>
  <si>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</si>
  <si>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</si>
  <si>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</si>
  <si>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</si>
  <si>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</si>
  <si>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</si>
  <si>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</si>
  <si>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</si>
  <si>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</si>
  <si>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</si>
  <si>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</si>
  <si>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</si>
  <si>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</si>
  <si>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</si>
  <si>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</si>
  <si>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</si>
  <si>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</si>
  <si>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</si>
  <si>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</si>
  <si>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</si>
  <si>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</si>
  <si>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</si>
  <si>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</si>
  <si>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</si>
  <si>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</si>
  <si>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</si>
  <si>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</si>
  <si>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</si>
  <si>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</si>
  <si>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</si>
  <si>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</si>
  <si>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</si>
  <si>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</si>
  <si>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</si>
  <si>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</si>
  <si>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</si>
  <si>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</si>
  <si>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</si>
  <si>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</si>
  <si>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</si>
  <si>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</si>
  <si>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</si>
  <si>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</si>
  <si>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</si>
  <si>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</si>
  <si>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</si>
  <si>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</si>
  <si>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</si>
  <si>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</si>
  <si>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</si>
  <si>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</si>
  <si>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</si>
  <si>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</si>
  <si>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</si>
  <si>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</si>
  <si>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</si>
  <si>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</si>
  <si>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</si>
  <si>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</si>
  <si>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</si>
  <si>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</si>
  <si>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</si>
  <si>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</si>
  <si>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</si>
  <si>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</si>
  <si>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</si>
  <si>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</si>
  <si>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</si>
  <si>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</si>
  <si>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</si>
  <si>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</si>
  <si>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</si>
  <si>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</si>
  <si>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</si>
  <si>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</si>
  <si>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</si>
  <si>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</si>
  <si>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</si>
  <si>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</si>
  <si>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</si>
  <si>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</si>
  <si>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</si>
  <si>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</si>
  <si>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</si>
  <si>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</si>
  <si>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</si>
  <si>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</si>
  <si>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</si>
  <si>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</si>
  <si>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</si>
  <si>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</si>
  <si>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</si>
  <si>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</si>
  <si>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</si>
  <si>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</si>
  <si>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</si>
  <si>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</si>
  <si>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</si>
  <si>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</si>
  <si>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</si>
  <si>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</si>
  <si>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</si>
  <si>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</si>
  <si>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</si>
  <si>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</si>
  <si>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</si>
  <si>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</si>
  <si>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</si>
  <si>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</si>
  <si>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</si>
  <si>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</si>
  <si>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</si>
  <si>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</si>
  <si>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</si>
  <si>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</si>
  <si>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</si>
  <si>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</si>
  <si>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</si>
  <si>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</si>
  <si>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</si>
  <si>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</si>
  <si>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</si>
  <si>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</si>
  <si>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</si>
  <si>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</si>
  <si>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</si>
  <si>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</si>
  <si>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</si>
  <si>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</si>
  <si>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</si>
  <si>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</si>
  <si>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</si>
  <si>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</si>
  <si>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</si>
  <si>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</si>
  <si>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</si>
  <si>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</si>
  <si>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</si>
  <si>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</si>
  <si>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</si>
  <si>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</si>
  <si>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</si>
  <si>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</si>
  <si>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</si>
  <si>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</si>
  <si>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</si>
  <si>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</si>
  <si>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</si>
  <si>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</si>
  <si>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</si>
  <si>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</si>
  <si>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</si>
  <si>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</si>
  <si>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</si>
  <si>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</si>
  <si>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</si>
  <si>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</si>
  <si>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</si>
  <si>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</si>
  <si>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</si>
  <si>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</si>
  <si>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</si>
  <si>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</si>
  <si>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</si>
  <si>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</si>
  <si>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</si>
  <si>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</si>
  <si>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</si>
  <si>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</si>
  <si>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</si>
  <si>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</si>
  <si>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</si>
  <si>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</si>
  <si>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</si>
  <si>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</si>
  <si>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</si>
  <si>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</si>
  <si>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</si>
  <si>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</si>
  <si>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</si>
  <si>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</si>
  <si>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</si>
  <si>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</si>
  <si>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</si>
  <si>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</si>
  <si>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</si>
  <si>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</si>
  <si>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</si>
  <si>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</si>
  <si>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</si>
  <si>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</si>
  <si>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</si>
  <si>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</si>
  <si>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</si>
  <si>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</si>
  <si>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</si>
  <si>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</si>
  <si>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</si>
  <si>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</si>
  <si>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</si>
  <si>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</si>
  <si>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</si>
  <si>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</si>
  <si>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</si>
  <si>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</si>
  <si>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</si>
  <si>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</si>
  <si>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</si>
  <si>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</si>
  <si>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</si>
  <si>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</si>
  <si>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</si>
  <si>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</si>
  <si>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</si>
  <si>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</si>
  <si>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</si>
  <si>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</si>
  <si>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</si>
  <si>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</si>
  <si>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</si>
  <si>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</si>
  <si>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</si>
  <si>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</si>
  <si>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</si>
  <si>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</si>
  <si>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</si>
  <si>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</si>
  <si>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</si>
  <si>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</si>
  <si>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</si>
  <si>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</si>
  <si>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</si>
  <si>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</si>
  <si>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</si>
  <si>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</si>
  <si>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</si>
  <si>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</si>
  <si>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</si>
  <si>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</si>
  <si>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</si>
  <si>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</si>
  <si>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</si>
  <si>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</si>
  <si>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</si>
  <si>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</si>
  <si>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</si>
  <si>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</si>
  <si>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</si>
  <si>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</si>
  <si>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</si>
  <si>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</si>
  <si>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</si>
  <si>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</si>
  <si>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</si>
  <si>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</si>
  <si>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</si>
  <si>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</si>
  <si>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</si>
  <si>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</si>
  <si>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</si>
  <si>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</si>
  <si>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</si>
  <si>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</si>
  <si>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</si>
  <si>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</si>
  <si>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</si>
  <si>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</si>
  <si>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</si>
  <si>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</si>
  <si>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</si>
  <si>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</si>
  <si>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</si>
  <si>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</si>
  <si>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</si>
  <si>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</si>
  <si>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</si>
  <si>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</si>
  <si>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</si>
  <si>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</si>
  <si>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</si>
  <si>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</si>
  <si>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</si>
  <si>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</si>
  <si>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</si>
  <si>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</si>
  <si>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</si>
  <si>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</si>
  <si>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</si>
  <si>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</si>
  <si>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</si>
  <si>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</si>
  <si>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</si>
  <si>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</si>
  <si>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</si>
  <si>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</si>
  <si>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</si>
  <si>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</si>
  <si>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</si>
  <si>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</si>
  <si>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</si>
  <si>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</si>
  <si>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</si>
  <si>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</si>
  <si>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</si>
  <si>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</si>
  <si>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</si>
  <si>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</si>
  <si>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</si>
  <si>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</si>
  <si>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</si>
  <si>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</si>
  <si>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</si>
  <si>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</si>
  <si>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</si>
  <si>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</si>
  <si>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</si>
  <si>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</si>
  <si>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</si>
  <si>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</si>
  <si>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</si>
  <si>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</si>
  <si>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</si>
  <si>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</si>
  <si>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</si>
  <si>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</si>
  <si>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</si>
  <si>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</si>
  <si>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</si>
  <si>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</si>
  <si>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</si>
  <si>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</si>
  <si>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</si>
  <si>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</si>
  <si>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</si>
  <si>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</si>
  <si>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</si>
  <si>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</si>
  <si>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</si>
  <si>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</si>
  <si>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</si>
  <si>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</si>
  <si>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</si>
  <si>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</si>
  <si>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</si>
  <si>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</si>
  <si>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</si>
  <si>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</si>
  <si>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</si>
  <si>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</si>
  <si>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</si>
  <si>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</si>
  <si>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</si>
  <si>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</si>
  <si>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</si>
  <si>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</si>
  <si>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</si>
  <si>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</si>
  <si>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</si>
  <si>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</si>
  <si>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</si>
  <si>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</si>
  <si>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</si>
  <si>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</si>
  <si>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</si>
  <si>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</si>
  <si>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</si>
  <si>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</si>
  <si>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</si>
  <si>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</si>
  <si>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</si>
  <si>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</si>
  <si>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</si>
  <si>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</si>
  <si>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</si>
  <si>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</si>
  <si>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</si>
  <si>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</si>
  <si>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</si>
  <si>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</si>
  <si>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</si>
  <si>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</si>
  <si>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</si>
  <si>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</si>
  <si>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</si>
  <si>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</si>
  <si>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</si>
  <si>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</si>
  <si>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</si>
  <si>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</si>
  <si>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</si>
  <si>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</si>
  <si>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</si>
  <si>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</si>
  <si>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</si>
  <si>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</si>
  <si>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</si>
  <si>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</si>
  <si>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</si>
  <si>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</si>
  <si>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</si>
  <si>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</si>
  <si>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</si>
  <si>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</si>
  <si>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</si>
  <si>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</si>
  <si>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</si>
  <si>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</si>
  <si>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</si>
  <si>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</si>
  <si>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</si>
  <si>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</si>
  <si>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</si>
  <si>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</si>
  <si>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</si>
  <si>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</si>
  <si>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</si>
  <si>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</si>
  <si>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</si>
  <si>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</si>
  <si>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</si>
  <si>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</si>
  <si>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</si>
  <si>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</si>
  <si>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</si>
  <si>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</si>
  <si>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</si>
  <si>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</si>
  <si>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</si>
  <si>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</si>
  <si>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</si>
  <si>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</si>
  <si>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</si>
  <si>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</si>
  <si>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</si>
  <si>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</si>
  <si>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</si>
  <si>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</si>
  <si>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</si>
  <si>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</si>
  <si>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</si>
  <si>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</si>
  <si>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</si>
  <si>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</si>
  <si>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</si>
  <si>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</si>
  <si>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</si>
  <si>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</si>
  <si>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</si>
  <si>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</si>
  <si>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</si>
  <si>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</si>
  <si>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</si>
  <si>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</si>
  <si>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</si>
  <si>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</si>
  <si>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</si>
  <si>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</si>
  <si>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</si>
  <si>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</si>
  <si>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</si>
  <si>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</si>
  <si>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</si>
  <si>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</si>
  <si>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</si>
  <si>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</si>
  <si>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</si>
  <si>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</si>
  <si>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</si>
  <si>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</si>
  <si>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</si>
  <si>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</si>
  <si>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</si>
  <si>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</si>
  <si>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</si>
  <si>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</si>
  <si>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</si>
  <si>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</si>
  <si>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</si>
  <si>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</si>
  <si>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</si>
  <si>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</si>
  <si>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</si>
  <si>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</si>
  <si>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</si>
  <si>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</si>
  <si>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</si>
  <si>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</si>
  <si>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</si>
  <si>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</si>
  <si>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</si>
  <si>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</si>
  <si>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</si>
  <si>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</si>
  <si>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</si>
  <si>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</si>
  <si>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</si>
  <si>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</si>
  <si>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</si>
  <si>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</si>
  <si>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</si>
  <si>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</si>
  <si>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</si>
  <si>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</si>
  <si>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</si>
  <si>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</si>
  <si>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</si>
  <si>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</si>
  <si>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</si>
  <si>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</si>
  <si>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</si>
  <si>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</si>
  <si>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</si>
  <si>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</si>
  <si>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</si>
  <si>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</si>
  <si>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</si>
  <si>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</si>
  <si>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</si>
  <si>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</si>
  <si>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</si>
  <si>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</si>
  <si>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</si>
  <si>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</si>
  <si>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</si>
  <si>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</si>
  <si>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</si>
  <si>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</si>
  <si>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</si>
  <si>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</si>
  <si>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</si>
  <si>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</si>
  <si>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</si>
  <si>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</si>
  <si>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</si>
  <si>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</si>
  <si>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</si>
  <si>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</si>
  <si>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</si>
  <si>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</si>
  <si>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</si>
  <si>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</si>
  <si>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</si>
  <si>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</si>
  <si>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</si>
  <si>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</si>
  <si>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</si>
  <si>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</si>
  <si>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</si>
  <si>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</si>
  <si>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</si>
  <si>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</si>
  <si>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</si>
  <si>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</si>
  <si>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</si>
  <si>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</si>
  <si>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</si>
  <si>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</si>
  <si>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</si>
  <si>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</si>
  <si>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</si>
  <si>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</si>
  <si>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</si>
  <si>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</si>
  <si>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</si>
  <si>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</si>
  <si>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</si>
  <si>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</si>
  <si>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</si>
  <si>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</si>
  <si>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</si>
  <si>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</si>
  <si>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</si>
  <si>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</si>
  <si>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</si>
  <si>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</si>
  <si>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</si>
  <si>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</si>
  <si>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</si>
  <si>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</si>
  <si>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</si>
  <si>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</si>
  <si>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</si>
  <si>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</si>
  <si>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</si>
  <si>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</si>
  <si>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</si>
  <si>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</si>
  <si>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</si>
  <si>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</si>
  <si>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</si>
  <si>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</si>
  <si>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</si>
  <si>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</si>
  <si>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</si>
  <si>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</si>
  <si>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</si>
  <si>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</si>
  <si>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</si>
  <si>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</si>
  <si>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</si>
  <si>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</si>
  <si>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</si>
  <si>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</si>
  <si>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</si>
  <si>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</si>
  <si>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</si>
  <si>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</si>
  <si>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</si>
  <si>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</si>
  <si>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</si>
  <si>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</si>
  <si>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</si>
  <si>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</si>
  <si>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</si>
  <si>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</si>
  <si>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</si>
  <si>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</si>
  <si>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</si>
  <si>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</si>
  <si>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</si>
  <si>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</si>
  <si>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</si>
  <si>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</si>
  <si>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</si>
  <si>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</si>
  <si>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</si>
  <si>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</si>
  <si>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</si>
  <si>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</si>
  <si>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</si>
  <si>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</si>
  <si>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</si>
  <si>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</si>
  <si>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</si>
  <si>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</si>
  <si>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</si>
  <si>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</si>
  <si>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</si>
  <si>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</si>
  <si>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</si>
  <si>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</si>
  <si>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</si>
  <si>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</si>
  <si>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</si>
  <si>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</si>
  <si>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</si>
  <si>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</si>
  <si>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</si>
  <si>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</si>
  <si>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</si>
  <si>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</si>
  <si>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</si>
  <si>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</si>
  <si>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</si>
  <si>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</si>
  <si>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</si>
  <si>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</si>
  <si>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</si>
  <si>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</si>
  <si>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</si>
  <si>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</si>
  <si>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</si>
  <si>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</si>
  <si>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</si>
  <si>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</si>
  <si>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</si>
  <si>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</si>
  <si>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</si>
  <si>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</si>
  <si>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</si>
  <si>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</si>
  <si>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</si>
  <si>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</si>
  <si>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</si>
  <si>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</si>
  <si>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</si>
  <si>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</si>
  <si>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</si>
  <si>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</si>
  <si>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</si>
  <si>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</si>
  <si>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</si>
  <si>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</si>
  <si>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</si>
  <si>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</si>
  <si>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</si>
  <si>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</si>
  <si>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</si>
  <si>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</si>
  <si>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</si>
  <si>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</si>
  <si>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</si>
  <si>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</si>
  <si>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</si>
  <si>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</si>
  <si>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</si>
  <si>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</si>
  <si>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</si>
  <si>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</si>
  <si>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</si>
  <si>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</si>
  <si>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</si>
  <si>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</si>
  <si>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</si>
  <si>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</si>
  <si>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</si>
  <si>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</si>
  <si>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</si>
  <si>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</si>
  <si>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</si>
  <si>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</si>
  <si>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</si>
  <si>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</si>
  <si>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</si>
  <si>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</si>
  <si>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</si>
  <si>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</si>
  <si>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</si>
  <si>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</si>
  <si>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</si>
  <si>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</si>
  <si>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</si>
  <si>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</si>
  <si>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</si>
  <si>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</si>
  <si>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</si>
  <si>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</si>
  <si>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</si>
  <si>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</si>
  <si>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</si>
  <si>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</si>
  <si>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</si>
  <si>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</si>
  <si>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</si>
  <si>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</si>
  <si>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</si>
  <si>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</si>
  <si>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</si>
  <si>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</si>
  <si>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</si>
  <si>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</si>
  <si>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</si>
  <si>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</si>
  <si>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</si>
  <si>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</si>
  <si>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</si>
  <si>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</si>
  <si>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</si>
  <si>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</si>
  <si>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</si>
  <si>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</si>
  <si>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</si>
  <si>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</si>
  <si>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</si>
  <si>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</si>
  <si>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</si>
  <si>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</si>
  <si>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</si>
  <si>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</si>
  <si>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</si>
  <si>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</si>
  <si>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</si>
  <si>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</si>
  <si>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</si>
  <si>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</si>
  <si>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</si>
  <si>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</si>
  <si>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</si>
  <si>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</si>
  <si>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</si>
  <si>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</si>
  <si>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</si>
  <si>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</si>
  <si>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</si>
  <si>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</si>
  <si>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</si>
  <si>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</si>
  <si>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</si>
  <si>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</si>
  <si>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</si>
  <si>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</si>
  <si>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</si>
  <si>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</si>
  <si>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</si>
  <si>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</si>
  <si>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</si>
  <si>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</si>
  <si>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</si>
  <si>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</si>
  <si>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</si>
  <si>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</si>
  <si>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</si>
  <si>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</si>
  <si>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</si>
  <si>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</si>
  <si>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</si>
  <si>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</si>
  <si>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</si>
  <si>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</si>
  <si>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</si>
  <si>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</si>
  <si>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</si>
  <si>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</si>
  <si>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</si>
  <si>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</si>
  <si>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</si>
  <si>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</si>
  <si>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</si>
  <si>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</si>
  <si>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</si>
  <si>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</si>
  <si>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</si>
  <si>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</si>
  <si>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</si>
  <si>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</si>
  <si>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</si>
  <si>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</si>
  <si>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</si>
  <si>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</si>
  <si>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</si>
  <si>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</si>
  <si>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</si>
  <si>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</si>
  <si>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</si>
  <si>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</si>
  <si>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</si>
  <si>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</si>
  <si>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</si>
  <si>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</si>
  <si>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</si>
  <si>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</si>
  <si>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</si>
  <si>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</si>
  <si>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</si>
  <si>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</si>
  <si>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</si>
  <si>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</si>
  <si>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</si>
  <si>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</si>
  <si>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</si>
  <si>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</si>
  <si>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</si>
  <si>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</si>
  <si>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</si>
  <si>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</si>
  <si>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</si>
  <si>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</si>
  <si>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</si>
  <si>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</si>
  <si>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</si>
  <si>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</si>
  <si>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</si>
  <si>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</si>
  <si>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</si>
  <si>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</si>
  <si>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</si>
  <si>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</si>
  <si>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</si>
  <si>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</si>
  <si>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</si>
  <si>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</si>
  <si>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</si>
  <si>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</si>
  <si>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</si>
  <si>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</si>
  <si>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</si>
  <si>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</si>
  <si>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</si>
  <si>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</si>
  <si>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</si>
  <si>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</si>
  <si>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</si>
  <si>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</si>
  <si>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</si>
  <si>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</si>
  <si>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</si>
  <si>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</si>
  <si>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</si>
  <si>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</si>
  <si>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</si>
  <si>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</si>
  <si>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</si>
  <si>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</si>
  <si>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</si>
  <si>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</si>
  <si>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</si>
  <si>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</si>
  <si>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</si>
  <si>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</si>
  <si>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</si>
  <si>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</si>
  <si>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</si>
  <si>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</si>
  <si>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</si>
  <si>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</si>
  <si>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</si>
  <si>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</si>
  <si>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</si>
  <si>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</si>
  <si>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</si>
  <si>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</si>
  <si>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</si>
  <si>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</si>
  <si>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</si>
  <si>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</si>
  <si>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</si>
  <si>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</si>
  <si>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</si>
  <si>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</si>
  <si>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</si>
  <si>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</si>
  <si>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</si>
  <si>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</si>
  <si>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</si>
  <si>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</si>
  <si>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</si>
  <si>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</si>
  <si>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</si>
  <si>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</si>
  <si>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</si>
  <si>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</si>
  <si>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</si>
  <si>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</si>
  <si>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</si>
  <si>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</si>
  <si>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</si>
  <si>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</si>
  <si>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</si>
  <si>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</si>
  <si>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</si>
  <si>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</si>
  <si>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</si>
  <si>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</si>
  <si>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</si>
  <si>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</si>
  <si>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</si>
  <si>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</si>
  <si>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</si>
  <si>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</si>
  <si>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</si>
  <si>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</si>
  <si>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</si>
  <si>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</si>
  <si>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</si>
  <si>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</si>
  <si>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</si>
  <si>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</si>
  <si>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</si>
  <si>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</si>
  <si>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</si>
  <si>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</si>
  <si>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</si>
  <si>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</si>
  <si>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</si>
  <si>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</si>
  <si>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</si>
  <si>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</si>
  <si>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</si>
  <si>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</si>
  <si>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</si>
  <si>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</si>
  <si>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</si>
  <si>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</si>
  <si>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</si>
  <si>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</si>
  <si>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</si>
  <si>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</si>
  <si>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</si>
  <si>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</si>
  <si>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</si>
  <si>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</si>
  <si>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</si>
  <si>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</si>
  <si>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</si>
  <si>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</si>
  <si>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</si>
  <si>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</si>
  <si>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</si>
  <si>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</si>
  <si>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</si>
  <si>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</si>
  <si>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</si>
  <si>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</si>
  <si>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</si>
  <si>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</si>
  <si>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</si>
  <si>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</si>
  <si>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</si>
  <si>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</si>
  <si>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</si>
  <si>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</si>
  <si>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</si>
  <si>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</si>
  <si>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</si>
  <si>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</si>
  <si>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</si>
  <si>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</si>
  <si>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</si>
  <si>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</si>
  <si>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</si>
  <si>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</si>
  <si>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</si>
  <si>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</si>
  <si>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</si>
  <si>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</si>
  <si>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</si>
  <si>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</si>
  <si>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</si>
  <si>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</si>
  <si>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</si>
  <si>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</si>
  <si>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</si>
  <si>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</si>
  <si>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</si>
  <si>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</si>
  <si>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</si>
  <si>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</si>
  <si>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</si>
  <si>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</si>
  <si>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</si>
  <si>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</si>
  <si>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</si>
  <si>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</si>
  <si>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</si>
  <si>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</si>
  <si>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</si>
  <si>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</si>
  <si>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</si>
  <si>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</si>
  <si>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</si>
  <si>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</si>
  <si>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</si>
  <si>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</si>
  <si>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</si>
  <si>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</si>
  <si>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</si>
  <si>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</si>
  <si>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</si>
  <si>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</si>
  <si>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</si>
  <si>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</si>
  <si>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</si>
  <si>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</si>
  <si>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</si>
  <si>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</si>
  <si>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</si>
  <si>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</si>
  <si>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</si>
  <si>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</si>
  <si>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</si>
  <si>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</si>
  <si>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</si>
  <si>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</si>
  <si>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</si>
  <si>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</si>
  <si>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</si>
  <si>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</si>
  <si>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</si>
  <si>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</si>
  <si>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</si>
  <si>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</si>
  <si>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</si>
  <si>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</si>
  <si>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</si>
  <si>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</si>
  <si>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</si>
  <si>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</si>
  <si>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</si>
  <si>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</si>
  <si>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</si>
  <si>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</si>
  <si>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</si>
  <si>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</si>
  <si>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</si>
  <si>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</si>
  <si>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</si>
  <si>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</si>
  <si>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</si>
  <si>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</si>
  <si>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</si>
  <si>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</si>
  <si>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</si>
  <si>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</si>
  <si>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</si>
  <si>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</si>
  <si>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</si>
  <si>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</si>
  <si>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</si>
  <si>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</si>
  <si>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</si>
  <si>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</si>
  <si>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</si>
  <si>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</si>
  <si>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</si>
  <si>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</si>
  <si>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</si>
  <si>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</si>
  <si>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</si>
  <si>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</si>
  <si>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</si>
  <si>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</si>
  <si>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</si>
  <si>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</si>
  <si>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</si>
  <si>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</si>
  <si>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</si>
  <si>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</si>
  <si>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</si>
  <si>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</si>
  <si>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</si>
  <si>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</si>
  <si>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</si>
  <si>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</si>
  <si>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</si>
  <si>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</si>
  <si>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</si>
  <si>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</si>
  <si>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</si>
  <si>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</si>
  <si>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</si>
  <si>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</si>
  <si>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</si>
  <si>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</si>
  <si>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</si>
  <si>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</si>
  <si>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</si>
  <si>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</si>
  <si>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</si>
  <si>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</si>
  <si>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</si>
  <si>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</si>
  <si>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</si>
  <si>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</si>
  <si>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</si>
  <si>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</si>
  <si>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</si>
  <si>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</si>
  <si>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</si>
  <si>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</si>
  <si>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</si>
  <si>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</si>
  <si>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</si>
  <si>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</si>
  <si>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</si>
  <si>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</si>
  <si>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</si>
  <si>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</si>
  <si>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</si>
  <si>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</si>
  <si>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</si>
  <si>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</si>
  <si>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</si>
  <si>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</si>
  <si>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</si>
  <si>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</si>
  <si>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</si>
  <si>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</si>
  <si>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</si>
  <si>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</si>
  <si>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</si>
  <si>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</si>
  <si>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</si>
  <si>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</si>
  <si>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</si>
  <si>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</si>
  <si>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</si>
  <si>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</si>
  <si>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</si>
  <si>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</si>
  <si>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</si>
  <si>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</si>
  <si>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</si>
  <si>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</si>
  <si>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</si>
  <si>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</si>
  <si>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</si>
  <si>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</si>
  <si>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</si>
  <si>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</si>
  <si>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</si>
  <si>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</si>
  <si>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</si>
  <si>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</si>
  <si>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</si>
  <si>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</si>
  <si>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</si>
  <si>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</si>
  <si>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</si>
  <si>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</si>
  <si>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</si>
  <si>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</si>
  <si>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</si>
  <si>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</si>
  <si>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</si>
  <si>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</si>
  <si>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</si>
  <si>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</si>
  <si>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</si>
  <si>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</si>
  <si>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</si>
  <si>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</si>
  <si>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</si>
  <si>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</si>
  <si>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</si>
  <si>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</si>
  <si>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</si>
  <si>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</si>
  <si>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</si>
  <si>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</si>
  <si>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</si>
  <si>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</si>
  <si>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</si>
  <si>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</si>
  <si>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</si>
  <si>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</si>
  <si>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</si>
  <si>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</si>
  <si>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</si>
  <si>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</si>
  <si>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</si>
  <si>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</si>
  <si>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</si>
  <si>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</si>
  <si>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</si>
  <si>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</si>
  <si>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</si>
  <si>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</si>
  <si>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</si>
  <si>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</si>
  <si>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</si>
  <si>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</si>
  <si>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</si>
  <si>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</si>
  <si>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</si>
  <si>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</si>
  <si>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</si>
  <si>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</si>
  <si>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</si>
  <si>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</si>
  <si>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</si>
  <si>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</si>
  <si>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</si>
  <si>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</si>
  <si>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</si>
  <si>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</si>
  <si>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</si>
  <si>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</si>
  <si>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</si>
  <si>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</si>
  <si>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</si>
  <si>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</si>
  <si>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</si>
  <si>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</si>
  <si>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</si>
  <si>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</si>
  <si>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</si>
  <si>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</si>
  <si>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</si>
  <si>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</si>
  <si>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</si>
  <si>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</si>
  <si>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</si>
  <si>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</si>
  <si>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</si>
  <si>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</si>
  <si>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</si>
  <si>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</si>
  <si>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</si>
  <si>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</si>
  <si>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</si>
  <si>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</si>
  <si>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</si>
  <si>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</si>
  <si>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</si>
  <si>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</si>
  <si>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</si>
  <si>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</si>
  <si>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</si>
  <si>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</si>
  <si>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</si>
  <si>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</si>
  <si>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</si>
  <si>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</si>
  <si>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</si>
  <si>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</si>
  <si>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</si>
  <si>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</si>
  <si>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</si>
  <si>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</si>
  <si>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</si>
  <si>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</si>
  <si>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</si>
  <si>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</si>
  <si>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</si>
  <si>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</si>
  <si>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</si>
  <si>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</si>
  <si>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</si>
  <si>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</si>
  <si>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</si>
  <si>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</si>
  <si>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</si>
  <si>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</si>
  <si>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</si>
  <si>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</si>
  <si>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</si>
  <si>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</si>
  <si>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</si>
  <si>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</si>
  <si>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</si>
  <si>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</si>
  <si>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</si>
  <si>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</si>
  <si>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</si>
  <si>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</si>
  <si>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</si>
  <si>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</si>
  <si>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</si>
  <si>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</si>
  <si>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</si>
  <si>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</si>
  <si>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</si>
  <si>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</si>
  <si>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</si>
  <si>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</si>
  <si>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</si>
  <si>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</si>
  <si>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</si>
  <si>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</si>
  <si>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</si>
  <si>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</si>
  <si>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</si>
  <si>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</si>
  <si>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</si>
  <si>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</si>
  <si>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</si>
  <si>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</si>
  <si>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</si>
  <si>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</si>
  <si>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</si>
  <si>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</si>
  <si>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</si>
  <si>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</si>
  <si>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</si>
  <si>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</si>
  <si>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</si>
  <si>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</si>
  <si>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</si>
  <si>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</si>
  <si>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</si>
  <si>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</si>
  <si>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</si>
  <si>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</si>
  <si>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</si>
  <si>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</si>
  <si>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</si>
  <si>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</si>
  <si>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</si>
  <si>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</si>
  <si>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</si>
  <si>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</si>
  <si>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</si>
  <si>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</si>
  <si>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</si>
  <si>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</si>
  <si>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</si>
  <si>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</si>
  <si>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</si>
  <si>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</si>
  <si>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</si>
  <si>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</si>
  <si>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</si>
  <si>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</si>
  <si>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</si>
  <si>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</si>
  <si>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</si>
  <si>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</si>
  <si>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</si>
  <si>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</si>
  <si>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</si>
  <si>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</si>
  <si>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</si>
  <si>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</si>
  <si>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</si>
  <si>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</si>
  <si>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</si>
  <si>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</si>
  <si>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</si>
  <si>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</si>
  <si>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</si>
  <si>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</si>
  <si>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</si>
  <si>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</si>
  <si>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</si>
  <si>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</si>
  <si>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</si>
  <si>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</si>
  <si>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</si>
  <si>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</si>
  <si>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</si>
  <si>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</si>
  <si>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</si>
  <si>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</si>
  <si>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</si>
  <si>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</si>
  <si>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</si>
  <si>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</si>
  <si>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</si>
  <si>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</si>
  <si>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</si>
  <si>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</si>
  <si>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</si>
  <si>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</si>
  <si>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</si>
  <si>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</si>
  <si>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</si>
  <si>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</si>
  <si>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</si>
  <si>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</si>
  <si>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</si>
  <si>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</si>
  <si>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</si>
  <si>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</si>
  <si>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</si>
  <si>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</si>
  <si>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</si>
  <si>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</si>
  <si>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</si>
  <si>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</si>
  <si>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</si>
  <si>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</si>
  <si>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</si>
  <si>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</si>
  <si>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</si>
  <si>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</si>
  <si>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</si>
  <si>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</si>
  <si>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</si>
  <si>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</si>
  <si>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</si>
  <si>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</si>
  <si>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</si>
  <si>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</si>
  <si>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</si>
  <si>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</si>
  <si>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</si>
  <si>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</si>
  <si>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</si>
  <si>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</si>
  <si>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</si>
  <si>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</si>
  <si>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</si>
  <si>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</si>
  <si>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</si>
  <si>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</si>
  <si>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</si>
  <si>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</si>
  <si>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</si>
  <si>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</si>
  <si>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</si>
  <si>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</si>
  <si>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</si>
  <si>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</si>
  <si>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</si>
  <si>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</si>
  <si>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</si>
  <si>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</si>
  <si>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</si>
  <si>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</si>
  <si>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</si>
  <si>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</si>
  <si>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</si>
  <si>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</si>
  <si>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</si>
  <si>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</si>
  <si>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</si>
  <si>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</si>
  <si>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</si>
  <si>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</si>
  <si>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</si>
  <si>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</si>
  <si>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</si>
  <si>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</si>
  <si>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</si>
  <si>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</si>
  <si>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</si>
  <si>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</si>
  <si>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</si>
  <si>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</si>
  <si>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</si>
  <si>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</si>
  <si>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</si>
  <si>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</si>
  <si>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</si>
  <si>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</si>
  <si>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</si>
  <si>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</si>
  <si>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</si>
  <si>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</si>
  <si>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</si>
  <si>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</si>
  <si>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</si>
  <si>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</si>
  <si>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</si>
  <si>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</si>
  <si>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</si>
  <si>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</si>
  <si>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</si>
  <si>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</si>
  <si>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</si>
  <si>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</si>
  <si>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</si>
  <si>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</si>
  <si>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</si>
  <si>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</si>
  <si>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</si>
  <si>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</si>
  <si>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</si>
  <si>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</si>
  <si>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</si>
  <si>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</si>
  <si>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</si>
  <si>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</si>
  <si>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</si>
  <si>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</si>
  <si>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</si>
  <si>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</si>
  <si>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</si>
  <si>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</si>
  <si>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</si>
  <si>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</si>
  <si>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</si>
  <si>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</si>
  <si>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</si>
  <si>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</si>
  <si>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</si>
  <si>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</si>
  <si>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</si>
  <si>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</si>
  <si>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</si>
  <si>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</si>
  <si>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</si>
  <si>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</si>
  <si>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</si>
  <si>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</si>
  <si>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</si>
  <si>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</si>
  <si>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</si>
  <si>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</si>
  <si>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</si>
  <si>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</si>
  <si>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</si>
  <si>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</si>
  <si>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</si>
  <si>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</si>
  <si>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</si>
  <si>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</si>
  <si>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</si>
  <si>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</si>
  <si>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</si>
  <si>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</si>
  <si>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</si>
  <si>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</si>
  <si>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</si>
  <si>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</si>
  <si>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</si>
  <si>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</si>
  <si>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</si>
  <si>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</si>
  <si>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</si>
  <si>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</si>
  <si>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</si>
  <si>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</si>
  <si>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</si>
  <si>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</si>
  <si>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</si>
  <si>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</si>
  <si>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</si>
  <si>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</si>
  <si>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</si>
  <si>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</si>
  <si>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</si>
  <si>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</si>
  <si>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</si>
  <si>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</si>
  <si>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</si>
  <si>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</si>
  <si>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</si>
  <si>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</si>
  <si>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</si>
  <si>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</si>
  <si>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</si>
  <si>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</si>
  <si>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</si>
  <si>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</si>
  <si>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</si>
  <si>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</si>
  <si>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</si>
  <si>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</si>
  <si>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</si>
  <si>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</si>
  <si>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</si>
  <si>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</si>
  <si>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</si>
  <si>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</si>
  <si>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</si>
  <si>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</si>
  <si>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</si>
  <si>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</si>
  <si>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</si>
  <si>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</si>
  <si>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</si>
  <si>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</si>
  <si>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</si>
  <si>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</si>
  <si>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</si>
  <si>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</si>
  <si>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</si>
  <si>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</si>
  <si>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</si>
  <si>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</si>
  <si>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</si>
  <si>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</si>
  <si>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</si>
  <si>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</si>
  <si>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</si>
  <si>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</si>
  <si>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</si>
  <si>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</si>
  <si>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</si>
  <si>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</si>
  <si>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</si>
  <si>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</si>
  <si>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</si>
  <si>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</si>
  <si>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</si>
  <si>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</si>
  <si>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</si>
  <si>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</si>
  <si>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</si>
  <si>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</si>
  <si>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</si>
  <si>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</si>
  <si>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</si>
  <si>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</si>
  <si>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</si>
  <si>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</si>
  <si>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</si>
  <si>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</si>
  <si>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</si>
  <si>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</si>
  <si>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</si>
  <si>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</si>
  <si>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</si>
  <si>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</si>
  <si>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</si>
  <si>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</si>
  <si>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</si>
  <si>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</si>
  <si>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</si>
  <si>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</si>
  <si>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</si>
  <si>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</si>
  <si>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</si>
  <si>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</si>
  <si>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</si>
  <si>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</si>
  <si>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</si>
  <si>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</si>
  <si>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</si>
  <si>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</si>
  <si>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</si>
  <si>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</si>
  <si>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</si>
  <si>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</si>
  <si>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</si>
  <si>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</si>
  <si>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</si>
  <si>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</si>
  <si>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</si>
  <si>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</si>
  <si>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</si>
  <si>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</si>
  <si>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</si>
  <si>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</si>
  <si>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</si>
  <si>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</si>
  <si>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</si>
  <si>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</si>
  <si>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</si>
  <si>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</si>
  <si>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</si>
  <si>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</si>
  <si>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</si>
  <si>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</si>
  <si>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</si>
  <si>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</si>
  <si>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</si>
  <si>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</si>
  <si>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</si>
  <si>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</si>
  <si>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</si>
  <si>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</si>
  <si>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</si>
  <si>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</si>
  <si>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</si>
  <si>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</si>
  <si>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</si>
  <si>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</si>
  <si>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</si>
  <si>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</si>
  <si>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</si>
  <si>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</si>
  <si>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</si>
  <si>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</si>
  <si>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</si>
  <si>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</si>
  <si>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</si>
  <si>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</si>
  <si>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</si>
  <si>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</si>
  <si>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</si>
  <si>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</si>
  <si>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</si>
  <si>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</si>
  <si>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</si>
  <si>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</si>
  <si>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</si>
  <si>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</si>
  <si>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</si>
  <si>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</si>
  <si>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</si>
  <si>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</si>
  <si>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</si>
  <si>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</si>
  <si>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</si>
  <si>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</si>
  <si>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</si>
  <si>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</si>
  <si>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</si>
  <si>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</si>
  <si>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</si>
  <si>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</si>
  <si>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</si>
  <si>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</si>
  <si>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</si>
  <si>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</si>
  <si>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</si>
  <si>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</si>
  <si>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</si>
  <si>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</si>
  <si>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</si>
  <si>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</si>
  <si>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</si>
  <si>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</si>
  <si>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</si>
  <si>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</si>
  <si>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</si>
  <si>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</si>
  <si>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</si>
  <si>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</si>
  <si>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</si>
  <si>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</si>
  <si>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</si>
  <si>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</si>
  <si>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</si>
  <si>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</si>
  <si>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</si>
  <si>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</si>
  <si>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</si>
  <si>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</si>
  <si>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</si>
  <si>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</si>
  <si>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</si>
  <si>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</si>
  <si>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</si>
  <si>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</si>
  <si>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</si>
  <si>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</si>
  <si>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</si>
  <si>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</si>
  <si>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</si>
  <si>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</si>
  <si>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</si>
  <si>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</si>
  <si>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</si>
  <si>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</si>
  <si>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</si>
  <si>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</si>
  <si>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</si>
  <si>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</si>
  <si>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</si>
  <si>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</si>
  <si>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</si>
  <si>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</si>
  <si>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</si>
  <si>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</si>
  <si>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</si>
  <si>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</si>
  <si>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</si>
  <si>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</si>
  <si>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</si>
  <si>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</si>
  <si>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</si>
  <si>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</si>
  <si>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</si>
  <si>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</si>
  <si>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</si>
  <si>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</si>
  <si>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</si>
  <si>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</si>
  <si>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</si>
  <si>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</si>
  <si>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</si>
  <si>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</si>
  <si>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</si>
  <si>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</si>
  <si>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</si>
  <si>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</si>
  <si>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</si>
  <si>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</si>
  <si>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</si>
  <si>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</si>
  <si>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</si>
  <si>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</si>
  <si>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</si>
  <si>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</si>
  <si>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</si>
  <si>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</si>
  <si>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</si>
  <si>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</si>
  <si>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</si>
  <si>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</si>
  <si>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</si>
  <si>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</si>
  <si>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</si>
  <si>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</si>
  <si>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</si>
  <si>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</si>
  <si>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</si>
  <si>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</si>
  <si>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</si>
  <si>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</si>
  <si>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</si>
  <si>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</si>
  <si>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</si>
  <si>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</si>
  <si>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</si>
  <si>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</si>
  <si>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</si>
  <si>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</si>
  <si>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</si>
  <si>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</si>
  <si>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</si>
  <si>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</si>
  <si>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</si>
  <si>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</si>
  <si>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</si>
  <si>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</si>
  <si>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</si>
  <si>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</si>
  <si>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</si>
  <si>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</si>
  <si>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</si>
  <si>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</si>
  <si>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</si>
  <si>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</si>
  <si>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</si>
  <si>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</si>
  <si>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</si>
  <si>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</si>
  <si>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</si>
  <si>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</si>
  <si>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</si>
  <si>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</si>
  <si>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</si>
  <si>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</si>
  <si>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</si>
  <si>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</si>
  <si>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</si>
  <si>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</si>
  <si>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</si>
  <si>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</si>
  <si>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</si>
  <si>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</si>
  <si>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</si>
  <si>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</si>
  <si>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</si>
  <si>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</si>
  <si>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</si>
  <si>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</si>
  <si>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</si>
  <si>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</si>
  <si>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</si>
  <si>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</si>
  <si>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</si>
  <si>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</si>
  <si>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</si>
  <si>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</si>
  <si>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</si>
  <si>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</si>
  <si>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</si>
  <si>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</si>
  <si>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</si>
  <si>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</si>
  <si>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</si>
  <si>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</si>
  <si>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</si>
  <si>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</si>
  <si>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</si>
  <si>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</si>
  <si>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</si>
  <si>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</si>
  <si>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</si>
  <si>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</si>
  <si>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</si>
  <si>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</si>
  <si>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</si>
  <si>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</si>
  <si>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</si>
  <si>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</si>
  <si>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</si>
  <si>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</si>
  <si>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</si>
  <si>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</si>
  <si>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</si>
  <si>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</si>
  <si>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</si>
  <si>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</si>
  <si>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</si>
  <si>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</si>
  <si>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</si>
  <si>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</si>
  <si>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</si>
  <si>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</si>
  <si>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</si>
  <si>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</si>
  <si>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</si>
  <si>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</si>
  <si>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</si>
  <si>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</si>
  <si>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</si>
  <si>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</si>
  <si>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</si>
  <si>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</si>
  <si>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</si>
  <si>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</si>
  <si>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</si>
  <si>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</si>
  <si>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</si>
  <si>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</si>
  <si>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</si>
  <si>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</si>
  <si>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</si>
  <si>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</si>
  <si>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</si>
  <si>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</si>
  <si>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</si>
  <si>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</si>
  <si>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</si>
  <si>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</si>
  <si>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</si>
  <si>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</si>
  <si>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</si>
  <si>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</si>
  <si>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</si>
  <si>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</si>
  <si>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</si>
  <si>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</si>
  <si>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</si>
  <si>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</si>
  <si>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</si>
  <si>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</si>
  <si>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</si>
  <si>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</si>
  <si>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</si>
  <si>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</si>
  <si>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</si>
  <si>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</si>
  <si>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</si>
  <si>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</si>
  <si>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</si>
  <si>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</si>
  <si>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</si>
  <si>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</si>
  <si>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</si>
  <si>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</si>
  <si>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</si>
  <si>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</si>
  <si>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</si>
  <si>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</si>
  <si>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</si>
  <si>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</si>
  <si>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</si>
  <si>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</si>
  <si>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</si>
  <si>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</si>
  <si>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</si>
  <si>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</si>
  <si>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</si>
  <si>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</si>
  <si>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</si>
  <si>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</si>
  <si>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</si>
  <si>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</si>
  <si>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</si>
  <si>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</si>
  <si>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</si>
  <si>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</si>
  <si>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</si>
  <si>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</si>
  <si>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</si>
  <si>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</si>
  <si>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</si>
  <si>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</si>
  <si>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</si>
  <si>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</si>
  <si>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</si>
  <si>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</si>
  <si>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</si>
  <si>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</si>
  <si>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</si>
  <si>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</si>
  <si>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</si>
  <si>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</si>
  <si>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</si>
  <si>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</si>
  <si>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</si>
  <si>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</si>
  <si>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</si>
  <si>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</si>
  <si>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</si>
  <si>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</si>
  <si>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</si>
  <si>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</si>
  <si>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</si>
  <si>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</si>
  <si>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</si>
  <si>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</si>
  <si>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</si>
  <si>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</si>
  <si>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</si>
  <si>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</si>
  <si>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</si>
  <si>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</si>
  <si>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</si>
  <si>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</si>
  <si>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</si>
  <si>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</si>
  <si>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</si>
  <si>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</si>
  <si>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</si>
  <si>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</si>
  <si>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</si>
  <si>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</si>
  <si>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</si>
  <si>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</si>
  <si>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</si>
  <si>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</si>
  <si>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</si>
  <si>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</si>
  <si>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</si>
  <si>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</si>
  <si>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</si>
  <si>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</si>
  <si>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</si>
  <si>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</si>
  <si>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</si>
  <si>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</si>
  <si>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</si>
  <si>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</si>
  <si>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</si>
  <si>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</si>
  <si>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</si>
  <si>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</si>
  <si>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</si>
  <si>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</si>
  <si>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</si>
  <si>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</si>
  <si>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</si>
  <si>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</si>
  <si>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</si>
  <si>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</si>
  <si>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</si>
  <si>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</si>
  <si>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</si>
  <si>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</si>
  <si>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</si>
  <si>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</si>
  <si>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</si>
  <si>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</si>
  <si>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</si>
  <si>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</si>
  <si>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</si>
  <si>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</si>
  <si>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</si>
  <si>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</si>
  <si>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</si>
  <si>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</si>
  <si>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</si>
  <si>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</si>
  <si>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</si>
  <si>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</si>
  <si>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</si>
  <si>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</si>
  <si>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</si>
  <si>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</si>
  <si>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</si>
  <si>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</si>
  <si>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</si>
  <si>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</si>
  <si>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</si>
  <si>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</si>
  <si>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</si>
  <si>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</si>
  <si>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</si>
  <si>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</si>
  <si>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</si>
  <si>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</si>
  <si>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</si>
  <si>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</si>
  <si>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</si>
  <si>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</si>
  <si>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</si>
  <si>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</si>
  <si>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</si>
  <si>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</si>
  <si>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</si>
  <si>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</si>
  <si>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</si>
  <si>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</si>
  <si>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</si>
  <si>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</si>
  <si>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</si>
  <si>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</si>
  <si>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</si>
  <si>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</si>
  <si>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</si>
  <si>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</si>
  <si>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</si>
  <si>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</si>
  <si>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</si>
  <si>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</si>
  <si>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</si>
  <si>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</si>
  <si>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</si>
  <si>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</si>
  <si>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</si>
  <si>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</si>
  <si>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</si>
  <si>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</si>
  <si>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</si>
  <si>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</si>
  <si>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</si>
  <si>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</si>
  <si>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</si>
  <si>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</si>
  <si>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</si>
  <si>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</si>
  <si>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</si>
  <si>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</si>
  <si>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</si>
  <si>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</si>
  <si>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</si>
  <si>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</si>
  <si>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</si>
  <si>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</si>
  <si>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</si>
  <si>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</si>
  <si>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</si>
  <si>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</si>
  <si>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</si>
  <si>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</si>
  <si>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</si>
  <si>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</si>
  <si>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</si>
  <si>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</si>
  <si>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</si>
  <si>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</si>
  <si>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</si>
  <si>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</si>
  <si>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</si>
  <si>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</si>
  <si>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</si>
  <si>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</si>
  <si>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</si>
  <si>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</si>
  <si>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</si>
  <si>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</si>
  <si>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</si>
  <si>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</si>
  <si>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</si>
  <si>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</si>
  <si>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</si>
  <si>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</si>
  <si>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</si>
  <si>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</si>
  <si>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</si>
  <si>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</si>
  <si>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</si>
  <si>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</si>
  <si>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</si>
  <si>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</si>
  <si>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</si>
  <si>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</si>
  <si>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</si>
  <si>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</si>
  <si>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</si>
  <si>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</si>
  <si>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</si>
  <si>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</si>
  <si>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</si>
  <si>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</si>
  <si>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</si>
  <si>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</si>
  <si>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</si>
  <si>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</si>
  <si>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</si>
  <si>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</si>
  <si>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</si>
  <si>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</si>
  <si>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</si>
  <si>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</si>
  <si>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</si>
  <si>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</si>
  <si>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</si>
  <si>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</si>
  <si>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</si>
  <si>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</si>
  <si>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</si>
  <si>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</si>
  <si>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</si>
  <si>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</si>
  <si>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</si>
  <si>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</si>
  <si>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</si>
  <si>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</si>
  <si>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</si>
  <si>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</si>
  <si>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</si>
  <si>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</si>
  <si>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</si>
  <si>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</si>
  <si>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</si>
  <si>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</si>
  <si>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</si>
  <si>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</si>
  <si>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</si>
  <si>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</si>
  <si>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</si>
  <si>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</si>
  <si>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</si>
  <si>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</si>
  <si>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</si>
  <si>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</si>
  <si>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</si>
  <si>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</si>
  <si>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</si>
  <si>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</si>
  <si>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</si>
  <si>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</si>
  <si>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</si>
  <si>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</si>
  <si>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</si>
  <si>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</si>
  <si>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</si>
  <si>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</si>
  <si>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</si>
  <si>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</si>
  <si>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</si>
  <si>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</si>
  <si>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</si>
  <si>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</si>
  <si>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</si>
  <si>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</si>
  <si>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</si>
  <si>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</si>
  <si>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</si>
  <si>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</si>
  <si>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</si>
  <si>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</si>
  <si>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</si>
  <si>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</si>
  <si>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</si>
  <si>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</si>
  <si>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</si>
  <si>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</si>
  <si>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</si>
  <si>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</si>
  <si>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</si>
  <si>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</si>
  <si>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</si>
  <si>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</si>
  <si>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</si>
  <si>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</si>
  <si>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</si>
  <si>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</si>
  <si>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</si>
  <si>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</si>
  <si>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</si>
  <si>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</si>
  <si>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</si>
  <si>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</si>
  <si>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</si>
  <si>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</si>
  <si>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</si>
  <si>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</si>
  <si>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</si>
  <si>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</si>
  <si>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</si>
  <si>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</si>
  <si>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</si>
  <si>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</si>
  <si>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</si>
  <si>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</si>
  <si>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</si>
  <si>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</si>
  <si>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</si>
  <si>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</si>
  <si>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</si>
  <si>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</si>
  <si>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</si>
  <si>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</si>
  <si>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</si>
  <si>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</si>
  <si>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</si>
  <si>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</si>
  <si>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</si>
  <si>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</si>
  <si>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</si>
  <si>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</si>
  <si>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</si>
  <si>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</si>
  <si>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</si>
  <si>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</si>
  <si>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</si>
  <si>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</si>
  <si>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</si>
  <si>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</si>
  <si>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</si>
  <si>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</si>
  <si>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</si>
  <si>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</si>
  <si>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</si>
  <si>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</si>
  <si>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</si>
  <si>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</si>
  <si>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</si>
  <si>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</si>
  <si>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</si>
  <si>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</si>
  <si>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</si>
  <si>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</si>
  <si>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</si>
  <si>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</si>
  <si>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</si>
  <si>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</si>
  <si>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</si>
  <si>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</si>
  <si>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</si>
  <si>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</si>
  <si>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</si>
  <si>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</si>
  <si>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</si>
  <si>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</si>
  <si>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</si>
  <si>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</si>
  <si>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</si>
  <si>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</si>
  <si>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</si>
  <si>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</si>
  <si>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</si>
  <si>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</si>
  <si>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</si>
  <si>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</si>
  <si>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</si>
  <si>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</si>
  <si>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</si>
  <si>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</si>
  <si>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</si>
  <si>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</si>
  <si>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</si>
  <si>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</si>
  <si>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</si>
  <si>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</si>
  <si>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</si>
  <si>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</si>
  <si>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</si>
  <si>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</si>
  <si>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</si>
  <si>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</si>
  <si>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</si>
  <si>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</si>
  <si>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</si>
  <si>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</si>
  <si>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</si>
  <si>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</si>
  <si>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</si>
  <si>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</si>
  <si>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</si>
  <si>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</si>
  <si>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</si>
  <si>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</si>
  <si>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</si>
  <si>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</si>
  <si>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</si>
  <si>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</si>
  <si>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</si>
  <si>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</si>
  <si>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</si>
  <si>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</si>
  <si>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</si>
  <si>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</si>
  <si>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</si>
  <si>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</si>
  <si>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</si>
  <si>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</si>
  <si>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</si>
  <si>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</si>
  <si>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</si>
  <si>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</si>
  <si>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</si>
  <si>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</si>
  <si>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</si>
  <si>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</si>
  <si>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</si>
  <si>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</si>
  <si>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</si>
  <si>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</si>
  <si>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</si>
  <si>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</si>
  <si>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</si>
  <si>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</si>
  <si>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</si>
  <si>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</si>
  <si>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</si>
  <si>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</si>
  <si>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</si>
  <si>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</si>
  <si>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</si>
  <si>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</si>
  <si>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</si>
  <si>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</si>
  <si>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</si>
  <si>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</si>
  <si>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</si>
  <si>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</si>
  <si>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</si>
  <si>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</si>
  <si>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</si>
  <si>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</si>
  <si>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</si>
  <si>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</si>
  <si>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</si>
  <si>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</si>
  <si>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</si>
  <si>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</si>
  <si>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</si>
  <si>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</si>
  <si>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</si>
  <si>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</si>
  <si>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</si>
  <si>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</si>
  <si>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</si>
  <si>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</si>
  <si>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</si>
  <si>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</si>
  <si>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</si>
  <si>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</si>
  <si>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</si>
  <si>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</si>
  <si>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</si>
  <si>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</si>
  <si>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</si>
  <si>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</si>
  <si>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</si>
  <si>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</si>
  <si>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</si>
  <si>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</si>
  <si>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</si>
  <si>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</si>
  <si>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</si>
  <si>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</si>
  <si>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</si>
  <si>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</si>
  <si>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</si>
  <si>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</si>
  <si>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</si>
  <si>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</si>
  <si>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</si>
  <si>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</si>
  <si>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</si>
  <si>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</si>
  <si>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</si>
  <si>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</si>
  <si>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</si>
  <si>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</si>
  <si>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</si>
  <si>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</si>
  <si>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</si>
  <si>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</si>
  <si>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</si>
  <si>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</si>
  <si>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</si>
  <si>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</si>
  <si>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</si>
  <si>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</si>
  <si>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</si>
  <si>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</si>
  <si>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</si>
  <si>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</si>
  <si>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</si>
  <si>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</si>
  <si>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</si>
  <si>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</si>
  <si>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</si>
  <si>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</si>
  <si>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</si>
  <si>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</si>
  <si>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</si>
  <si>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</si>
  <si>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</si>
  <si>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</si>
  <si>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</si>
  <si>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</si>
  <si>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</si>
  <si>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</si>
  <si>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</si>
  <si>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</si>
  <si>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</si>
  <si>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</si>
  <si>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</si>
  <si>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</si>
  <si>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</si>
  <si>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</si>
  <si>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</si>
  <si>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</si>
  <si>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</si>
  <si>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</si>
  <si>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</si>
  <si>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</si>
  <si>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</si>
  <si>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</si>
  <si>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</si>
  <si>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</si>
  <si>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</si>
  <si>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</si>
  <si>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</si>
  <si>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</si>
  <si>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</si>
  <si>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</si>
  <si>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</si>
  <si>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</si>
  <si>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</si>
  <si>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</si>
  <si>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</si>
  <si>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</si>
  <si>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</si>
  <si>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</si>
  <si>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</si>
  <si>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</si>
  <si>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</si>
  <si>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</si>
  <si>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</si>
  <si>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</si>
  <si>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</si>
  <si>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</si>
  <si>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</si>
  <si>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</si>
  <si>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</si>
  <si>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</si>
  <si>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</si>
  <si>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</si>
  <si>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</si>
  <si>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</si>
  <si>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</si>
  <si>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</si>
  <si>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</si>
  <si>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</si>
  <si>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</si>
  <si>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</si>
  <si>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</si>
  <si>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</si>
  <si>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</si>
  <si>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</si>
  <si>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</si>
  <si>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</si>
  <si>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</si>
  <si>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</si>
  <si>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</si>
  <si>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</si>
  <si>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</si>
  <si>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</si>
  <si>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</si>
  <si>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</si>
  <si>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</si>
  <si>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</si>
  <si>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</si>
  <si>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</si>
  <si>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</si>
  <si>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</si>
  <si>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</si>
  <si>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</si>
  <si>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</si>
  <si>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</si>
  <si>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</si>
  <si>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</si>
  <si>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</si>
  <si>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</si>
  <si>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</si>
  <si>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</si>
  <si>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</si>
  <si>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</si>
  <si>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</si>
  <si>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</si>
  <si>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</si>
  <si>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</si>
  <si>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</si>
  <si>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</si>
  <si>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</si>
  <si>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</si>
  <si>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</si>
  <si>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</si>
  <si>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</si>
  <si>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</si>
  <si>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</si>
  <si>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</si>
  <si>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</si>
  <si>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</si>
  <si>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</si>
  <si>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</si>
  <si>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</si>
  <si>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</si>
  <si>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</si>
  <si>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</si>
  <si>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</si>
  <si>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</si>
  <si>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</si>
  <si>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</si>
  <si>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</si>
  <si>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</si>
  <si>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</si>
  <si>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</si>
  <si>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</si>
  <si>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</si>
  <si>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</si>
  <si>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</si>
  <si>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</si>
  <si>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</si>
  <si>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</si>
  <si>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</si>
  <si>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</si>
  <si>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</si>
  <si>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</si>
  <si>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</si>
  <si>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</si>
  <si>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</si>
  <si>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</si>
  <si>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</si>
  <si>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</si>
  <si>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</si>
  <si>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</si>
  <si>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</si>
  <si>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</si>
  <si>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</si>
  <si>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</si>
  <si>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</si>
  <si>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</si>
  <si>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</si>
  <si>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</si>
  <si>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</si>
  <si>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</si>
  <si>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</si>
  <si>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</si>
  <si>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</si>
  <si>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</si>
  <si>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</si>
  <si>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</si>
  <si>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</si>
  <si>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</si>
  <si>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</si>
  <si>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</si>
  <si>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</si>
  <si>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</si>
  <si>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</si>
  <si>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</si>
  <si>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</si>
  <si>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</si>
  <si>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</si>
  <si>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</si>
  <si>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</si>
  <si>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</si>
  <si>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</si>
  <si>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</si>
  <si>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</si>
  <si>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</si>
  <si>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</si>
  <si>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</si>
  <si>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</si>
  <si>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</si>
  <si>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</si>
  <si>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</si>
  <si>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</si>
  <si>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</si>
  <si>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</si>
  <si>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</si>
  <si>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</si>
  <si>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</si>
  <si>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</si>
  <si>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</si>
  <si>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</si>
  <si>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</si>
  <si>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</si>
  <si>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</si>
  <si>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</si>
  <si>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</si>
  <si>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</si>
  <si>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</si>
  <si>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</si>
  <si>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</si>
  <si>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</si>
  <si>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</si>
  <si>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</si>
  <si>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</si>
  <si>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</si>
  <si>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</si>
  <si>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</si>
  <si>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</si>
  <si>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</si>
  <si>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</si>
  <si>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</si>
  <si>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</si>
  <si>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</si>
  <si>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</si>
  <si>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</si>
  <si>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</si>
  <si>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</si>
  <si>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</si>
  <si>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</si>
  <si>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</si>
  <si>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</si>
  <si>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</si>
  <si>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</si>
  <si>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</si>
  <si>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</si>
  <si>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</si>
  <si>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</si>
  <si>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</si>
  <si>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</si>
  <si>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</si>
  <si>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</si>
  <si>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</si>
  <si>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</si>
  <si>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</si>
  <si>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</si>
  <si>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</si>
  <si>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</si>
  <si>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</si>
  <si>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</si>
  <si>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</si>
  <si>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</si>
  <si>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</si>
  <si>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</si>
  <si>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</si>
  <si>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</si>
  <si>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</si>
  <si>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</si>
  <si>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</si>
  <si>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</si>
  <si>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</si>
  <si>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</si>
  <si>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</si>
  <si>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</si>
  <si>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</si>
  <si>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</si>
  <si>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</si>
  <si>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</si>
  <si>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</si>
  <si>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</si>
  <si>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</si>
  <si>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</si>
  <si>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</si>
  <si>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</si>
  <si>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</si>
  <si>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</si>
  <si>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</si>
  <si>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</si>
  <si>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</si>
  <si>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</si>
  <si>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</si>
  <si>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</si>
  <si>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</si>
  <si>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</si>
  <si>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</si>
  <si>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</si>
  <si>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</si>
  <si>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</si>
  <si>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</si>
  <si>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</si>
  <si>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</si>
  <si>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</si>
  <si>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</si>
  <si>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</si>
  <si>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</si>
  <si>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</si>
  <si>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</si>
  <si>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</si>
  <si>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</si>
  <si>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</si>
  <si>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</si>
  <si>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</si>
  <si>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</si>
  <si>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</si>
  <si>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</si>
  <si>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</si>
  <si>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</si>
  <si>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</si>
  <si>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</si>
  <si>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</si>
  <si>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</si>
  <si>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</si>
  <si>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</si>
  <si>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</si>
  <si>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</si>
  <si>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</si>
  <si>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</si>
  <si>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</si>
  <si>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</si>
  <si>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</si>
  <si>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</si>
  <si>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</si>
  <si>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</si>
  <si>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</si>
  <si>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</si>
  <si>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</si>
  <si>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</si>
  <si>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</si>
  <si>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</si>
  <si>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</si>
  <si>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</si>
  <si>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</si>
  <si>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</si>
  <si>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</si>
  <si>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</si>
  <si>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</si>
  <si>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</si>
  <si>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</si>
  <si>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</si>
  <si>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</si>
  <si>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</si>
  <si>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</si>
  <si>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</si>
  <si>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</si>
  <si>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</si>
  <si>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</si>
  <si>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</si>
  <si>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</si>
  <si>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</si>
  <si>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</si>
  <si>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</si>
  <si>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</si>
  <si>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</si>
  <si>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</si>
  <si>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</si>
  <si>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</si>
  <si>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</si>
  <si>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</si>
  <si>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</si>
  <si>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</si>
  <si>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</si>
  <si>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</si>
  <si>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</si>
  <si>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</si>
  <si>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</si>
  <si>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</si>
  <si>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</si>
  <si>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</si>
  <si>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</si>
  <si>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</si>
  <si>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</si>
  <si>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</si>
  <si>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</si>
  <si>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</si>
  <si>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</si>
  <si>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</si>
  <si>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</si>
  <si>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</si>
  <si>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</si>
  <si>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</si>
  <si>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</si>
  <si>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</si>
  <si>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</si>
  <si>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</si>
  <si>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</si>
  <si>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</si>
  <si>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</si>
  <si>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</si>
  <si>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</si>
  <si>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</si>
  <si>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</si>
  <si>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</si>
  <si>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</si>
  <si>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</si>
  <si>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</si>
  <si>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</si>
  <si>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</si>
  <si>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</si>
  <si>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</si>
  <si>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</si>
  <si>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</si>
  <si>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</si>
  <si>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</si>
  <si>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</si>
  <si>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</si>
  <si>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</si>
  <si>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</si>
  <si>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</si>
  <si>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</si>
  <si>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</si>
  <si>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</si>
  <si>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</si>
  <si>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</si>
  <si>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</si>
  <si>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</si>
  <si>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</si>
  <si>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</si>
  <si>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</si>
  <si>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</si>
  <si>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</si>
  <si>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</si>
  <si>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</si>
  <si>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</si>
  <si>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</si>
  <si>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</si>
  <si>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</si>
  <si>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</si>
  <si>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</si>
  <si>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</si>
  <si>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</si>
  <si>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</si>
  <si>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</si>
  <si>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</si>
  <si>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</si>
  <si>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</si>
  <si>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</si>
  <si>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</si>
  <si>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</si>
  <si>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</si>
  <si>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</si>
  <si>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</si>
  <si>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</si>
  <si>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</si>
  <si>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</si>
  <si>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</si>
  <si>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</si>
  <si>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</si>
  <si>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</si>
  <si>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</si>
  <si>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</si>
  <si>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</si>
  <si>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</si>
  <si>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</si>
  <si>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</si>
  <si>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</si>
  <si>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</si>
  <si>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</si>
  <si>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</si>
  <si>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</si>
  <si>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</si>
  <si>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</si>
  <si>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</si>
  <si>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</si>
  <si>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</si>
  <si>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</si>
  <si>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</si>
  <si>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</si>
  <si>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</si>
  <si>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</si>
  <si>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</si>
  <si>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</si>
  <si>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</si>
  <si>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</si>
  <si>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</si>
  <si>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</si>
  <si>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</si>
  <si>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</si>
  <si>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</si>
  <si>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</si>
  <si>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</si>
  <si>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</si>
  <si>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</si>
  <si>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</si>
  <si>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</si>
  <si>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</si>
  <si>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</si>
  <si>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</si>
  <si>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</si>
  <si>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</si>
  <si>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</si>
  <si>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</si>
  <si>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</si>
  <si>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</si>
  <si>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</si>
  <si>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</si>
  <si>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</si>
  <si>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</si>
  <si>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</si>
  <si>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</si>
  <si>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</si>
  <si>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</si>
  <si>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</si>
  <si>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</si>
  <si>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</si>
  <si>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</si>
  <si>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</si>
  <si>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</si>
  <si>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</si>
  <si>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</si>
  <si>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</si>
  <si>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</si>
  <si>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</si>
  <si>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</si>
  <si>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</si>
  <si>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</si>
  <si>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</si>
  <si>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</si>
  <si>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</si>
  <si>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</si>
  <si>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</si>
  <si>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</si>
  <si>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</si>
  <si>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</si>
  <si>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</si>
  <si>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</si>
  <si>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</si>
  <si>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</si>
  <si>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</si>
  <si>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</si>
  <si>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</si>
  <si>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</si>
  <si>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</si>
  <si>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</si>
  <si>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</si>
  <si>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</si>
  <si>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</si>
  <si>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</si>
  <si>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</si>
  <si>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</si>
  <si>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</si>
  <si>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</si>
  <si>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</si>
  <si>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</si>
  <si>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</si>
  <si>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</si>
  <si>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</si>
  <si>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</si>
  <si>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</si>
  <si>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</si>
  <si>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</si>
  <si>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</si>
  <si>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</si>
  <si>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</si>
  <si>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</si>
  <si>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</si>
  <si>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</si>
  <si>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</si>
  <si>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</si>
  <si>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</si>
  <si>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</si>
  <si>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</si>
  <si>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</si>
  <si>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</si>
  <si>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</si>
  <si>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</si>
  <si>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</si>
  <si>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</si>
  <si>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</si>
  <si>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</si>
  <si>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</si>
  <si>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</si>
  <si>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</si>
  <si>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</si>
  <si>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</si>
  <si>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</si>
  <si>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</si>
  <si>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</si>
  <si>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</si>
  <si>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</si>
  <si>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</si>
  <si>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</si>
  <si>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</si>
  <si>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</si>
  <si>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</si>
  <si>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</si>
  <si>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</si>
  <si>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</si>
  <si>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</si>
  <si>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</si>
  <si>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</si>
  <si>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</si>
  <si>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</si>
  <si>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</si>
  <si>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</si>
  <si>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</si>
  <si>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</si>
  <si>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</si>
  <si>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</si>
  <si>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</si>
  <si>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</si>
  <si>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</si>
  <si>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</si>
  <si>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</si>
  <si>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</si>
  <si>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</si>
  <si>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</si>
  <si>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</si>
  <si>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</si>
  <si>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</si>
  <si>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</si>
  <si>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</si>
  <si>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</si>
  <si>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</si>
  <si>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</si>
  <si>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</si>
  <si>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</si>
  <si>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</si>
  <si>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</si>
  <si>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</si>
  <si>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</si>
  <si>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</si>
  <si>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</si>
  <si>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</si>
  <si>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</si>
  <si>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</si>
  <si>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</si>
  <si>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</si>
  <si>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</si>
  <si>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</si>
  <si>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</si>
  <si>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</si>
  <si>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</si>
  <si>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</si>
  <si>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</si>
  <si>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</si>
  <si>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</si>
  <si>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</si>
  <si>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</si>
  <si>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</si>
  <si>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</si>
  <si>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</si>
  <si>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</si>
  <si>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</si>
  <si>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</si>
  <si>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</si>
  <si>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</si>
  <si>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</si>
  <si>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</si>
  <si>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</si>
  <si>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</si>
  <si>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</si>
  <si>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</si>
  <si>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</si>
  <si>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</si>
  <si>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</si>
  <si>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</si>
  <si>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</si>
  <si>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</si>
  <si>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</si>
  <si>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</si>
  <si>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</si>
  <si>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</si>
  <si>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</si>
  <si>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</si>
  <si>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</si>
  <si>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</si>
  <si>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</si>
  <si>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</si>
  <si>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</si>
  <si>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</si>
  <si>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</si>
  <si>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</si>
  <si>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</si>
  <si>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</si>
  <si>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</si>
  <si>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</si>
  <si>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</si>
  <si>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</si>
  <si>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</si>
  <si>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</si>
  <si>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</si>
  <si>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</si>
  <si>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</si>
  <si>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</si>
  <si>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</si>
  <si>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</si>
  <si>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</si>
  <si>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</si>
  <si>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</si>
  <si>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</si>
  <si>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</si>
  <si>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</si>
  <si>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</si>
  <si>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</si>
  <si>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</si>
  <si>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</si>
  <si>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</si>
  <si>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</si>
  <si>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</si>
  <si>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</si>
  <si>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</si>
  <si>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</si>
  <si>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</si>
  <si>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</si>
  <si>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</si>
  <si>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</si>
  <si>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</si>
  <si>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</si>
  <si>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</si>
  <si>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</si>
  <si>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</si>
  <si>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</si>
  <si>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</si>
  <si>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</si>
  <si>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</si>
  <si>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</si>
  <si>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</si>
  <si>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</si>
  <si>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</si>
  <si>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</si>
  <si>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</si>
  <si>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</si>
  <si>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</si>
  <si>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</si>
  <si>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</si>
  <si>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</si>
  <si>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</si>
  <si>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</si>
  <si>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</si>
  <si>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</si>
  <si>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</si>
  <si>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</si>
  <si>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</si>
  <si>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</si>
  <si>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</si>
  <si>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</si>
  <si>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</si>
  <si>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</si>
  <si>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</si>
  <si>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</si>
  <si>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</si>
  <si>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</si>
  <si>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</si>
  <si>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</si>
  <si>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</si>
  <si>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</si>
  <si>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</si>
  <si>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</si>
  <si>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</si>
  <si>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</si>
  <si>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</si>
  <si>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</si>
  <si>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</si>
  <si>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</si>
  <si>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</si>
  <si>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</si>
  <si>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</si>
  <si>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</si>
  <si>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</si>
  <si>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</si>
  <si>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</si>
  <si>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</si>
  <si>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</si>
  <si>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</si>
  <si>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</si>
  <si>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</si>
  <si>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</si>
  <si>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</si>
  <si>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</si>
  <si>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</si>
  <si>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</si>
  <si>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</si>
  <si>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</si>
  <si>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</si>
  <si>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</si>
  <si>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</si>
  <si>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</si>
  <si>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</si>
  <si>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</si>
  <si>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</si>
  <si>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</si>
  <si>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</si>
  <si>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</si>
  <si>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</si>
  <si>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</si>
  <si>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</si>
  <si>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</si>
  <si>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</si>
  <si>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</si>
  <si>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</si>
  <si>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</si>
  <si>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</si>
  <si>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</si>
  <si>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</si>
  <si>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</si>
  <si>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</si>
  <si>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</si>
  <si>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</si>
  <si>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</si>
  <si>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</si>
  <si>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</si>
  <si>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</si>
  <si>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</si>
  <si>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</si>
  <si>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</si>
  <si>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</si>
  <si>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</si>
  <si>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</si>
  <si>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</si>
  <si>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</si>
  <si>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</si>
  <si>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</si>
  <si>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</si>
  <si>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</si>
  <si>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</si>
  <si>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</si>
  <si>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</si>
  <si>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</si>
  <si>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</si>
  <si>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</si>
  <si>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</si>
  <si>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</si>
  <si>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</si>
  <si>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</si>
  <si>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</si>
  <si>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</si>
  <si>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</si>
  <si>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</si>
  <si>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</si>
  <si>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</si>
  <si>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</si>
  <si>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</si>
  <si>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</si>
  <si>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</si>
  <si>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</si>
  <si>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</si>
  <si>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</si>
  <si>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</si>
  <si>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</si>
  <si>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</si>
  <si>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</si>
  <si>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</si>
  <si>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</si>
  <si>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</si>
  <si>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</si>
  <si>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</si>
  <si>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</si>
  <si>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</si>
  <si>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</si>
  <si>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</si>
  <si>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</si>
  <si>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</si>
  <si>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</si>
  <si>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</si>
  <si>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</si>
  <si>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</si>
  <si>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</si>
  <si>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</si>
  <si>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</si>
  <si>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</si>
  <si>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</si>
  <si>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</si>
  <si>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</si>
  <si>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</si>
  <si>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</si>
  <si>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</si>
  <si>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</si>
  <si>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</si>
  <si>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</si>
  <si>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</si>
  <si>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</si>
  <si>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</si>
  <si>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</si>
  <si>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</si>
  <si>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</si>
  <si>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</si>
  <si>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</si>
  <si>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</si>
  <si>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</si>
  <si>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</si>
  <si>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</si>
  <si>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</si>
  <si>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</si>
  <si>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</si>
  <si>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</si>
  <si>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</si>
  <si>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</si>
  <si>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</si>
  <si>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</si>
  <si>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</si>
  <si>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</si>
  <si>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</si>
  <si>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</si>
  <si>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</si>
  <si>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</si>
  <si>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</si>
  <si>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</si>
  <si>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</si>
  <si>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</si>
  <si>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</si>
  <si>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</si>
  <si>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</si>
  <si>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</si>
  <si>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</si>
  <si>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</si>
  <si>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</si>
  <si>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</si>
  <si>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</si>
  <si>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</si>
  <si>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</si>
  <si>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</si>
  <si>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</si>
  <si>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</si>
  <si>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</si>
  <si>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</si>
  <si>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</si>
  <si>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</si>
  <si>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</si>
  <si>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</si>
  <si>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</si>
  <si>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</si>
  <si>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</si>
  <si>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</si>
  <si>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</si>
  <si>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</si>
  <si>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</si>
  <si>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</si>
  <si>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</si>
  <si>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</si>
  <si>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</si>
  <si>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</si>
  <si>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</si>
  <si>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</si>
  <si>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</si>
  <si>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</si>
  <si>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</si>
  <si>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</si>
  <si>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</si>
  <si>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</si>
  <si>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</si>
  <si>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</si>
  <si>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</si>
  <si>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</si>
  <si>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</si>
  <si>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</si>
  <si>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</si>
  <si>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</si>
  <si>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</si>
  <si>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</si>
  <si>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</si>
  <si>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</si>
  <si>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</si>
  <si>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</si>
  <si>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</si>
  <si>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</si>
  <si>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</si>
  <si>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</si>
  <si>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</si>
  <si>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</si>
  <si>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</si>
  <si>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</si>
  <si>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</si>
  <si>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</si>
  <si>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</si>
  <si>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</si>
  <si>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</si>
  <si>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</si>
  <si>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</si>
  <si>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</si>
  <si>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</si>
  <si>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</si>
  <si>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</si>
  <si>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</si>
  <si>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</si>
  <si>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</si>
  <si>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</si>
  <si>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</si>
  <si>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</si>
  <si>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</si>
  <si>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</si>
  <si>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</si>
  <si>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</si>
  <si>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</si>
  <si>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</si>
  <si>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</si>
  <si>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</si>
  <si>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</si>
  <si>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</si>
  <si>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</si>
  <si>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</si>
  <si>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</si>
  <si>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</si>
  <si>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</si>
  <si>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</si>
  <si>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</si>
  <si>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</si>
  <si>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</si>
  <si>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</si>
  <si>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</si>
  <si>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</si>
  <si>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</si>
  <si>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</si>
  <si>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</si>
  <si>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</si>
  <si>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</si>
  <si>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</si>
  <si>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</si>
  <si>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</si>
  <si>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</si>
  <si>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</si>
  <si>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</si>
  <si>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</si>
  <si>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</si>
  <si>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</si>
  <si>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</si>
  <si>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</si>
  <si>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</si>
  <si>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</si>
  <si>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</si>
  <si>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</si>
  <si>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</si>
  <si>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</si>
  <si>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</si>
  <si>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</si>
  <si>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</si>
  <si>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</si>
  <si>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</si>
  <si>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</si>
  <si>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</si>
  <si>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</si>
  <si>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</si>
  <si>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</si>
  <si>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</si>
  <si>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</si>
  <si>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</si>
  <si>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</si>
  <si>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</si>
  <si>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</si>
  <si>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</si>
  <si>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</si>
  <si>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</si>
  <si>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</si>
  <si>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</si>
  <si>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</si>
  <si>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</si>
  <si>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</si>
  <si>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</si>
  <si>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</si>
  <si>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</si>
  <si>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</si>
  <si>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</si>
  <si>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</si>
  <si>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</si>
  <si>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</si>
  <si>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</si>
  <si>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</si>
  <si>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</si>
  <si>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</si>
  <si>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</si>
  <si>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</si>
  <si>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</si>
  <si>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</si>
  <si>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</si>
  <si>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</si>
  <si>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</si>
  <si>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</si>
  <si>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</si>
  <si>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</si>
  <si>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</si>
  <si>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</si>
  <si>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</si>
  <si>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</si>
  <si>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</si>
  <si>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</si>
  <si>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</si>
  <si>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</si>
  <si>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</si>
  <si>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</si>
  <si>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</si>
  <si>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</si>
  <si>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</si>
  <si>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</si>
  <si>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</si>
  <si>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</si>
  <si>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</si>
  <si>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</si>
  <si>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</si>
  <si>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</si>
  <si>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</si>
  <si>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</si>
  <si>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</si>
  <si>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</si>
  <si>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</si>
  <si>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</si>
  <si>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</si>
  <si>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</si>
  <si>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</si>
  <si>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</si>
  <si>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</si>
  <si>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</si>
  <si>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</si>
  <si>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</si>
  <si>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</si>
  <si>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</si>
  <si>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</si>
  <si>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</si>
  <si>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</si>
  <si>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</si>
  <si>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</si>
  <si>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</si>
  <si>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</si>
  <si>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</si>
  <si>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</si>
  <si>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</si>
  <si>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</si>
  <si>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</si>
  <si>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</si>
  <si>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</si>
  <si>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</si>
  <si>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</si>
  <si>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</si>
  <si>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</si>
  <si>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</si>
  <si>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</si>
  <si>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</si>
  <si>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</si>
  <si>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</si>
  <si>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</si>
  <si>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</si>
  <si>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</si>
  <si>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</si>
  <si>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</si>
  <si>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</si>
  <si>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</si>
  <si>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</si>
  <si>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</si>
  <si>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</si>
  <si>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</si>
  <si>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</si>
  <si>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</si>
  <si>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</si>
  <si>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</si>
  <si>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</si>
  <si>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</si>
  <si>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</si>
  <si>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</si>
  <si>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</si>
  <si>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</si>
  <si>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</si>
  <si>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</si>
  <si>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</si>
  <si>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</si>
  <si>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</si>
  <si>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</si>
  <si>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</si>
  <si>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</si>
  <si>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</si>
  <si>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</si>
  <si>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</si>
  <si>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</si>
  <si>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</si>
  <si>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</si>
  <si>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</si>
  <si>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</si>
  <si>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</si>
  <si>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</si>
  <si>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</si>
  <si>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</si>
  <si>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</si>
  <si>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</si>
  <si>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</si>
  <si>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</si>
  <si>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</si>
  <si>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</si>
  <si>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</si>
  <si>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</si>
  <si>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</si>
  <si>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</si>
  <si>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</si>
  <si>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</si>
  <si>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</si>
  <si>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</si>
  <si>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</si>
  <si>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</si>
  <si>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</si>
  <si>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</si>
  <si>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</si>
  <si>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</si>
  <si>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</si>
  <si>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</si>
  <si>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</si>
  <si>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</si>
  <si>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</si>
  <si>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</si>
  <si>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</si>
  <si>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</si>
  <si>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</si>
  <si>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</si>
  <si>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</si>
  <si>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</si>
  <si>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</si>
  <si>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</si>
  <si>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</si>
  <si>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</si>
  <si>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</si>
  <si>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</si>
  <si>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</si>
  <si>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</si>
  <si>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</si>
  <si>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</si>
  <si>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</si>
  <si>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</si>
  <si>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</si>
  <si>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</si>
  <si>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</si>
  <si>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</si>
  <si>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</si>
  <si>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</si>
  <si>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</si>
  <si>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</si>
  <si>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</si>
  <si>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</si>
  <si>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</si>
  <si>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</si>
  <si>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</si>
  <si>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</si>
  <si>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</si>
  <si>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</si>
  <si>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</si>
  <si>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</si>
  <si>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</si>
  <si>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</si>
  <si>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</si>
  <si>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</si>
  <si>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</si>
  <si>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</si>
  <si>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</si>
  <si>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</si>
  <si>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</si>
  <si>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</si>
  <si>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</si>
  <si>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</si>
  <si>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</si>
  <si>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</si>
  <si>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</si>
  <si>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</si>
  <si>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</si>
  <si>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</si>
  <si>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</si>
  <si>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</si>
  <si>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</si>
  <si>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</si>
  <si>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</si>
  <si>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</si>
  <si>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</si>
  <si>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</si>
  <si>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</si>
  <si>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</si>
  <si>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</si>
  <si>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</si>
  <si>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</si>
  <si>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</si>
  <si>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</si>
  <si>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</si>
  <si>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</si>
  <si>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</si>
  <si>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</si>
  <si>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</si>
  <si>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</si>
  <si>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</si>
  <si>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</si>
  <si>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</si>
  <si>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</si>
  <si>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</si>
  <si>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</si>
  <si>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</si>
  <si>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</si>
  <si>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</si>
  <si>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</si>
  <si>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</si>
  <si>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</si>
  <si>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</si>
  <si>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</si>
  <si>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</si>
  <si>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</si>
  <si>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</si>
  <si>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</si>
  <si>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</si>
  <si>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</si>
  <si>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</si>
  <si>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</si>
  <si>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</si>
  <si>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</si>
  <si>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</si>
  <si>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</si>
  <si>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</si>
  <si>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</si>
  <si>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</si>
  <si>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</si>
  <si>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</si>
  <si>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</si>
  <si>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</si>
  <si>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</si>
  <si>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</si>
  <si>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</si>
  <si>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</si>
  <si>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</si>
  <si>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</si>
  <si>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</si>
  <si>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</si>
  <si>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</si>
  <si>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</si>
  <si>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</si>
  <si>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</si>
  <si>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</si>
  <si>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</si>
  <si>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</si>
  <si>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</si>
  <si>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</si>
  <si>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</si>
  <si>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</si>
  <si>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</si>
  <si>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</si>
  <si>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</si>
  <si>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</si>
  <si>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</si>
  <si>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</si>
  <si>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</si>
  <si>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</si>
  <si>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</si>
  <si>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</si>
  <si>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</si>
  <si>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</si>
  <si>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</si>
  <si>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</si>
  <si>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</si>
  <si>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</si>
  <si>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</si>
  <si>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</si>
  <si>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</si>
  <si>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</si>
  <si>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</si>
  <si>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</si>
  <si>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</si>
  <si>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</si>
  <si>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</si>
  <si>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</si>
  <si>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</si>
  <si>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</si>
  <si>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</si>
  <si>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</si>
  <si>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</si>
  <si>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</si>
  <si>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</si>
  <si>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</si>
  <si>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</si>
  <si>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</si>
  <si>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</si>
  <si>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</si>
  <si>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</si>
  <si>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</si>
  <si>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</si>
  <si>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</si>
  <si>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</si>
  <si>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</si>
  <si>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</si>
  <si>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</si>
  <si>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</si>
  <si>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</si>
  <si>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</si>
  <si>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</si>
  <si>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</si>
  <si>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</si>
  <si>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</si>
  <si>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</si>
  <si>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</si>
  <si>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</si>
  <si>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</si>
  <si>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</si>
  <si>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</si>
  <si>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</si>
  <si>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</si>
  <si>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</si>
  <si>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</si>
  <si>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</si>
  <si>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</si>
  <si>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</si>
  <si>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</si>
  <si>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</si>
  <si>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</si>
  <si>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</si>
  <si>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</si>
  <si>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</si>
  <si>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</si>
  <si>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</si>
  <si>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</si>
  <si>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</si>
  <si>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</si>
  <si>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</si>
  <si>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</si>
  <si>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</si>
  <si>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</si>
  <si>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</si>
  <si>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</si>
  <si>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</si>
  <si>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</si>
  <si>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</si>
  <si>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</si>
  <si>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</si>
  <si>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</si>
  <si>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</si>
  <si>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</si>
  <si>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</si>
  <si>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</si>
  <si>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</si>
  <si>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</si>
  <si>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</si>
  <si>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</si>
  <si>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</si>
  <si>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</si>
  <si>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</si>
  <si>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</si>
  <si>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</si>
  <si>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</si>
  <si>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</si>
  <si>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</si>
  <si>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</si>
  <si>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</si>
  <si>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</si>
  <si>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</si>
  <si>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</si>
  <si>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</si>
  <si>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</si>
  <si>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</si>
  <si>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</si>
  <si>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</si>
  <si>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</si>
  <si>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</si>
  <si>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</si>
  <si>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</si>
  <si>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</si>
  <si>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</si>
  <si>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</si>
  <si>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</si>
  <si>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</si>
  <si>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</si>
  <si>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</si>
  <si>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</si>
  <si>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</si>
  <si>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</si>
  <si>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</si>
  <si>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</si>
  <si>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</si>
  <si>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</si>
  <si>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</si>
  <si>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</si>
  <si>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</si>
  <si>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</si>
  <si>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</si>
  <si>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</si>
  <si>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</si>
  <si>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</si>
  <si>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</si>
  <si>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</si>
  <si>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</si>
  <si>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</si>
  <si>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</si>
  <si>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</si>
  <si>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</si>
  <si>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</si>
  <si>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</si>
  <si>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</si>
  <si>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</si>
  <si>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</si>
  <si>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</si>
  <si>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</si>
  <si>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</si>
  <si>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</si>
  <si>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</si>
  <si>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</si>
  <si>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</si>
  <si>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</si>
  <si>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</si>
  <si>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</si>
  <si>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</si>
  <si>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</si>
  <si>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</si>
  <si>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</si>
  <si>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</si>
  <si>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</si>
  <si>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</si>
  <si>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</si>
  <si>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</si>
  <si>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</si>
  <si>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</si>
  <si>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</si>
  <si>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</si>
  <si>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</si>
  <si>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</si>
  <si>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</si>
  <si>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</si>
  <si>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</si>
  <si>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</si>
  <si>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</si>
  <si>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</si>
  <si>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</si>
  <si>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</si>
  <si>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</si>
  <si>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</si>
  <si>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</si>
  <si>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</si>
  <si>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</si>
  <si>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</si>
  <si>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</si>
  <si>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</si>
  <si>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</si>
  <si>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</si>
  <si>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</si>
  <si>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</si>
  <si>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</si>
  <si>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</si>
  <si>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</si>
  <si>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</si>
  <si>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</si>
  <si>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</si>
  <si>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</si>
  <si>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</si>
  <si>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</si>
  <si>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</si>
  <si>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</si>
  <si>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</si>
  <si>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</si>
  <si>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</si>
  <si>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</si>
  <si>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</si>
  <si>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</si>
  <si>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</si>
  <si>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</si>
  <si>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</si>
  <si>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</si>
  <si>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</si>
  <si>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</si>
  <si>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</si>
  <si>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</si>
  <si>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</si>
  <si>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</si>
  <si>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</si>
  <si>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</si>
  <si>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</si>
  <si>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</si>
  <si>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</si>
  <si>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</si>
  <si>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</si>
  <si>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</si>
  <si>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</si>
  <si>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</si>
  <si>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</si>
  <si>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</si>
  <si>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</si>
  <si>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</si>
  <si>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</si>
  <si>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</si>
  <si>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</si>
  <si>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</si>
  <si>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</si>
  <si>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</si>
  <si>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</si>
  <si>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</si>
  <si>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</si>
  <si>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</si>
  <si>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</si>
  <si>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</si>
  <si>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</si>
  <si>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</si>
  <si>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</si>
  <si>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</si>
  <si>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</si>
  <si>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</si>
  <si>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</si>
  <si>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</si>
  <si>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</si>
  <si>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</si>
  <si>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</si>
  <si>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</si>
  <si>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</si>
  <si>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</si>
  <si>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</si>
  <si>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</si>
  <si>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</si>
  <si>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</si>
  <si>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</si>
  <si>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</si>
  <si>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</si>
  <si>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</si>
  <si>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</si>
  <si>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</si>
  <si>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</si>
  <si>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</si>
  <si>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</si>
  <si>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</si>
  <si>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</si>
  <si>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</si>
  <si>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</si>
  <si>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</si>
  <si>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</si>
  <si>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</si>
  <si>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</si>
  <si>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</si>
  <si>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</si>
  <si>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</si>
  <si>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</si>
  <si>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</si>
  <si>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</si>
  <si>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</si>
  <si>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</si>
  <si>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</si>
  <si>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</si>
  <si>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</si>
  <si>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</si>
  <si>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</si>
  <si>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</si>
  <si>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</si>
  <si>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</si>
  <si>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</si>
  <si>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</si>
  <si>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</si>
  <si>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</si>
  <si>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</si>
  <si>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</si>
  <si>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</si>
  <si>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</si>
  <si>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</si>
  <si>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</si>
  <si>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</si>
  <si>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</si>
  <si>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</si>
  <si>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</si>
  <si>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</si>
  <si>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</si>
  <si>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</si>
  <si>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</si>
  <si>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</si>
  <si>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</si>
  <si>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</si>
  <si>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</si>
  <si>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</si>
  <si>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</si>
  <si>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</si>
  <si>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</si>
  <si>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</si>
  <si>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</si>
  <si>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</si>
  <si>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</si>
  <si>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</si>
  <si>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</si>
  <si>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</si>
  <si>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</si>
  <si>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</si>
  <si>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</si>
  <si>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</si>
  <si>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</si>
  <si>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</si>
  <si>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</si>
  <si>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</si>
  <si>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</si>
  <si>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</si>
  <si>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</si>
  <si>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</si>
  <si>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</si>
  <si>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</si>
  <si>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</si>
  <si>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</si>
  <si>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</si>
  <si>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</si>
  <si>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</si>
  <si>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</si>
  <si>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</si>
  <si>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</si>
  <si>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</si>
  <si>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</si>
  <si>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</si>
  <si>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</si>
  <si>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</si>
  <si>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</si>
  <si>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</si>
  <si>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</si>
  <si>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</si>
  <si>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</si>
  <si>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</si>
  <si>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</si>
  <si>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</si>
  <si>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</si>
  <si>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</si>
  <si>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</si>
  <si>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</si>
  <si>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</si>
  <si>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</si>
  <si>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</si>
  <si>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</si>
  <si>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</si>
  <si>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</si>
  <si>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</si>
  <si>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</si>
  <si>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</si>
  <si>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</si>
  <si>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</si>
  <si>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</si>
  <si>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</si>
  <si>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</si>
  <si>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</si>
  <si>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</si>
  <si>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</si>
  <si>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</si>
  <si>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</si>
  <si>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</si>
  <si>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</si>
  <si>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</si>
  <si>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</si>
  <si>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</si>
  <si>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</si>
  <si>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</si>
  <si>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</si>
  <si>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</si>
  <si>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</si>
  <si>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</si>
  <si>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</si>
  <si>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</si>
  <si>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</si>
  <si>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</si>
  <si>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</si>
  <si>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</si>
  <si>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</si>
  <si>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</si>
  <si>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</si>
  <si>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</si>
  <si>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</si>
  <si>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</si>
  <si>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</si>
  <si>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</si>
  <si>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</si>
  <si>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</si>
  <si>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</si>
  <si>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</si>
  <si>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</si>
  <si>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</si>
  <si>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</si>
  <si>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</si>
  <si>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</si>
  <si>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</si>
  <si>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</si>
  <si>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</si>
  <si>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</si>
  <si>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</si>
  <si>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</si>
  <si>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</si>
  <si>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</si>
  <si>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</si>
  <si>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</si>
  <si>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</si>
  <si>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</si>
  <si>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</si>
  <si>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</si>
  <si>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</si>
  <si>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</si>
  <si>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</si>
  <si>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</si>
  <si>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</si>
  <si>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</si>
  <si>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</si>
  <si>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</si>
  <si>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</si>
  <si>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</si>
  <si>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</si>
  <si>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</si>
  <si>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</si>
  <si>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</si>
  <si>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</si>
  <si>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</si>
  <si>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</si>
  <si>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</si>
  <si>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</si>
  <si>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</si>
  <si>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</si>
  <si>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</si>
  <si>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</si>
  <si>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</si>
  <si>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</si>
  <si>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</si>
  <si>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</si>
  <si>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</si>
  <si>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</si>
  <si>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</si>
  <si>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</si>
  <si>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</si>
  <si>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</si>
  <si>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</si>
  <si>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</si>
  <si>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</si>
  <si>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</si>
  <si>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</si>
  <si>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</si>
  <si>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</si>
  <si>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</si>
  <si>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</si>
  <si>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</si>
  <si>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</si>
  <si>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</si>
  <si>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</si>
  <si>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</si>
  <si>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</si>
  <si>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</si>
  <si>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</si>
  <si>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</si>
  <si>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</si>
  <si>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</si>
  <si>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</si>
  <si>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</si>
  <si>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</si>
  <si>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</si>
  <si>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</si>
  <si>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</si>
  <si>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</si>
  <si>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</si>
  <si>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</si>
  <si>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</si>
  <si>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</si>
  <si>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</si>
  <si>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</si>
  <si>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</si>
  <si>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</si>
  <si>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</si>
  <si>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</si>
  <si>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</si>
  <si>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</si>
  <si>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</si>
  <si>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</si>
  <si>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</si>
  <si>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</si>
  <si>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</si>
  <si>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</si>
  <si>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</si>
  <si>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</si>
  <si>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</si>
  <si>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</si>
  <si>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</si>
  <si>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</si>
  <si>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</si>
  <si>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</si>
  <si>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</si>
  <si>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</si>
  <si>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</si>
  <si>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</si>
  <si>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</si>
  <si>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</si>
  <si>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</si>
  <si>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</si>
  <si>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</si>
  <si>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</si>
  <si>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</si>
  <si>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</si>
  <si>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</si>
  <si>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</si>
  <si>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</si>
  <si>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</si>
  <si>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</si>
  <si>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</si>
  <si>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</si>
  <si>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</si>
  <si>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</si>
  <si>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</si>
  <si>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</si>
  <si>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</si>
  <si>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</si>
  <si>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</si>
  <si>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</si>
  <si>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</si>
  <si>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</si>
  <si>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</si>
  <si>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</si>
  <si>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</si>
  <si>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</si>
  <si>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</si>
  <si>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</si>
  <si>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</si>
  <si>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</si>
  <si>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</si>
  <si>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</si>
  <si>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</si>
  <si>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</si>
  <si>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</si>
  <si>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</si>
  <si>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</si>
  <si>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</si>
  <si>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</si>
  <si>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</si>
  <si>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</si>
  <si>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</si>
  <si>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</si>
  <si>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</si>
  <si>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</si>
  <si>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</si>
  <si>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</si>
  <si>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</si>
  <si>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</si>
  <si>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</si>
  <si>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</si>
  <si>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</si>
  <si>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</si>
  <si>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</si>
  <si>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</si>
  <si>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</si>
  <si>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</si>
  <si>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</si>
  <si>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</si>
  <si>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</si>
  <si>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</si>
  <si>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</si>
  <si>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</si>
  <si>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</si>
  <si>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</si>
  <si>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</si>
  <si>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</si>
  <si>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</si>
  <si>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</si>
  <si>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</si>
  <si>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</si>
  <si>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</si>
  <si>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</si>
  <si>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</si>
  <si>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</si>
  <si>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</si>
  <si>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</si>
  <si>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</si>
  <si>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</si>
  <si>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</si>
  <si>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</si>
  <si>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</si>
  <si>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</si>
  <si>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</si>
  <si>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</si>
  <si>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</si>
  <si>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</si>
  <si>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</si>
  <si>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</si>
  <si>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</si>
  <si>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</si>
  <si>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</si>
  <si>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</si>
  <si>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</si>
  <si>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</si>
  <si>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</si>
  <si>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</si>
  <si>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</si>
  <si>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</si>
  <si>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</si>
  <si>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</si>
  <si>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</si>
  <si>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</si>
  <si>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</si>
  <si>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</si>
  <si>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</si>
  <si>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</si>
  <si>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</si>
  <si>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</si>
  <si>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</si>
  <si>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</si>
  <si>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</si>
  <si>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</si>
  <si>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</si>
  <si>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</si>
  <si>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</si>
  <si>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</si>
  <si>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</si>
  <si>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</si>
  <si>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</si>
  <si>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</si>
  <si>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</si>
  <si>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</si>
  <si>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</si>
  <si>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</si>
  <si>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</si>
  <si>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</si>
  <si>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</si>
  <si>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</si>
  <si>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</si>
  <si>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</si>
  <si>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</si>
  <si>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</si>
  <si>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</si>
  <si>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</si>
  <si>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</si>
  <si>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</si>
  <si>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</si>
  <si>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</si>
  <si>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</si>
  <si>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</si>
  <si>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</si>
  <si>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</si>
  <si>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</si>
  <si>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</si>
  <si>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</si>
  <si>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</si>
  <si>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</si>
  <si>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</si>
  <si>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</si>
  <si>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</si>
  <si>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</si>
  <si>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</si>
  <si>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</si>
  <si>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</si>
  <si>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</si>
  <si>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</si>
  <si>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</si>
  <si>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</si>
  <si>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</si>
  <si>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</si>
  <si>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</si>
  <si>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</si>
  <si>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</si>
  <si>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</si>
  <si>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</si>
  <si>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</si>
  <si>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</si>
  <si>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</si>
  <si>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</si>
  <si>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</si>
  <si>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</si>
  <si>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</si>
  <si>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</si>
  <si>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</si>
  <si>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</si>
  <si>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</si>
  <si>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</si>
  <si>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</si>
  <si>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</si>
  <si>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</si>
  <si>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</si>
  <si>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</si>
  <si>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</si>
  <si>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</si>
  <si>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</si>
  <si>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</si>
  <si>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</si>
  <si>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</si>
  <si>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</si>
  <si>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</si>
  <si>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</si>
  <si>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</si>
  <si>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</si>
  <si>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</si>
  <si>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</si>
  <si>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</si>
  <si>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</si>
  <si>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</si>
  <si>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</si>
  <si>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</si>
  <si>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</si>
  <si>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</si>
  <si>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</si>
  <si>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</si>
  <si>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</si>
  <si>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</si>
  <si>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</si>
  <si>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</si>
  <si>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</si>
  <si>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</si>
  <si>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</si>
  <si>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</si>
  <si>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</si>
  <si>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</si>
  <si>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</si>
  <si>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</si>
  <si>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</si>
  <si>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</si>
  <si>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</si>
  <si>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</si>
  <si>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</si>
  <si>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</si>
  <si>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</si>
  <si>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</si>
  <si>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</si>
  <si>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</si>
  <si>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</si>
  <si>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</si>
  <si>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</si>
  <si>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</si>
  <si>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</si>
  <si>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</si>
  <si>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</si>
  <si>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</si>
  <si>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</si>
  <si>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</si>
  <si>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</si>
  <si>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</si>
  <si>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</si>
  <si>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</si>
  <si>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</si>
  <si>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</si>
  <si>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</si>
  <si>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</si>
  <si>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</si>
  <si>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</si>
  <si>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</si>
  <si>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</si>
  <si>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</si>
  <si>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</si>
  <si>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</si>
  <si>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</si>
  <si>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</si>
  <si>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</si>
  <si>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</si>
  <si>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</si>
  <si>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</si>
  <si>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</si>
  <si>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</si>
  <si>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</si>
  <si>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</si>
  <si>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</si>
  <si>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</si>
  <si>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</si>
  <si>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</si>
  <si>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</si>
  <si>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</si>
  <si>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</si>
  <si>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</si>
  <si>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</si>
  <si>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</si>
  <si>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</si>
  <si>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</si>
  <si>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</si>
  <si>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</si>
  <si>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</si>
  <si>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</si>
  <si>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</si>
  <si>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</si>
  <si>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</si>
  <si>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</si>
  <si>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</si>
  <si>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</si>
  <si>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</si>
  <si>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</si>
  <si>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</si>
  <si>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</si>
  <si>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</si>
  <si>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</si>
  <si>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</si>
  <si>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</si>
  <si>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</si>
  <si>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</si>
  <si>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</si>
  <si>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</si>
  <si>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</si>
  <si>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</si>
  <si>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</si>
  <si>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</si>
  <si>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</si>
  <si>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</si>
  <si>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</si>
  <si>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</si>
  <si>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</si>
  <si>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</si>
  <si>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</si>
  <si>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</si>
  <si>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</si>
  <si>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</si>
  <si>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</si>
  <si>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</si>
  <si>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</si>
  <si>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</si>
  <si>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</si>
  <si>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</si>
  <si>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</si>
  <si>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</si>
  <si>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</si>
  <si>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</si>
  <si>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</si>
  <si>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</si>
  <si>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</si>
  <si>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</si>
  <si>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</si>
  <si>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</si>
  <si>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</si>
  <si>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</si>
  <si>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</si>
  <si>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</si>
  <si>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</si>
  <si>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</si>
  <si>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</si>
  <si>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</si>
  <si>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</si>
  <si>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</si>
  <si>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</si>
  <si>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</si>
  <si>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</si>
  <si>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</si>
  <si>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</si>
  <si>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</si>
  <si>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</si>
  <si>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</si>
  <si>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</si>
  <si>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</si>
  <si>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</si>
  <si>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</si>
  <si>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</si>
  <si>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</si>
  <si>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</si>
  <si>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</si>
  <si>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</si>
  <si>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</si>
  <si>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</si>
  <si>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</si>
  <si>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</si>
  <si>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</si>
  <si>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</si>
  <si>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</si>
  <si>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</si>
  <si>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</si>
  <si>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</si>
  <si>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</si>
  <si>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</si>
  <si>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</si>
  <si>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</si>
  <si>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</si>
  <si>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</si>
  <si>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</si>
  <si>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</si>
  <si>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</si>
  <si>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</si>
  <si>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</si>
  <si>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</si>
  <si>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</si>
  <si>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</si>
  <si>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</si>
  <si>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</si>
  <si>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</si>
  <si>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</si>
  <si>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</si>
  <si>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</si>
  <si>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</si>
  <si>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</si>
  <si>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</si>
  <si>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</si>
  <si>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</si>
  <si>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</si>
  <si>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</si>
  <si>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</si>
  <si>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</si>
  <si>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</si>
  <si>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</si>
  <si>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</si>
  <si>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</si>
  <si>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</si>
  <si>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</si>
  <si>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</si>
  <si>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</si>
  <si>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</si>
  <si>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</si>
  <si>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</si>
  <si>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</si>
  <si>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</si>
  <si>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</si>
  <si>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</si>
  <si>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</si>
  <si>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</si>
  <si>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</si>
  <si>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</si>
  <si>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</si>
  <si>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</si>
  <si>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</si>
  <si>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</si>
  <si>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</si>
  <si>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</si>
  <si>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</si>
  <si>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</si>
  <si>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</si>
  <si>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</si>
  <si>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</si>
  <si>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</si>
  <si>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</si>
  <si>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</si>
  <si>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</si>
  <si>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</si>
  <si>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</si>
  <si>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</si>
  <si>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</si>
  <si>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</si>
  <si>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</si>
  <si>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</si>
  <si>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</si>
  <si>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</si>
  <si>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</si>
  <si>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</si>
  <si>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</si>
  <si>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</si>
  <si>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</si>
  <si>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</si>
  <si>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</si>
  <si>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</si>
  <si>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</si>
  <si>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</si>
  <si>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</si>
  <si>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</si>
  <si>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</si>
  <si>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</si>
  <si>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</si>
  <si>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</si>
  <si>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</si>
  <si>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</si>
  <si>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</si>
  <si>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</si>
  <si>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</si>
  <si>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</si>
  <si>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</si>
  <si>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</si>
  <si>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</si>
  <si>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</si>
  <si>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</si>
  <si>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</si>
  <si>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</si>
  <si>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</si>
  <si>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</si>
  <si>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</si>
  <si>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</si>
  <si>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</si>
  <si>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</si>
  <si>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</si>
  <si>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</si>
  <si>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</si>
  <si>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</si>
  <si>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</si>
  <si>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</si>
  <si>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</si>
  <si>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</si>
  <si>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</si>
  <si>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</si>
  <si>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</si>
  <si>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</si>
  <si>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</si>
  <si>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</si>
  <si>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</si>
  <si>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</si>
  <si>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</si>
  <si>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</si>
  <si>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</si>
  <si>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</si>
  <si>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</si>
  <si>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</si>
  <si>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</si>
  <si>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</si>
  <si>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</si>
  <si>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</si>
  <si>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</si>
  <si>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</si>
  <si>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</si>
  <si>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</si>
  <si>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</si>
  <si>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</si>
  <si>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</si>
  <si>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</si>
  <si>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</si>
  <si>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</si>
  <si>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</si>
  <si>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</si>
  <si>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</si>
  <si>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</si>
  <si>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</si>
  <si>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</si>
  <si>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</si>
  <si>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</si>
  <si>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</si>
  <si>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</si>
  <si>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</si>
  <si>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</si>
  <si>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</si>
  <si>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</si>
  <si>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</si>
  <si>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</si>
  <si>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</si>
  <si>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</si>
  <si>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</si>
  <si>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</si>
  <si>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</si>
  <si>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</si>
  <si>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</si>
  <si>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</si>
  <si>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</si>
  <si>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</si>
  <si>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</si>
  <si>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</si>
  <si>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</si>
  <si>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</si>
  <si>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</si>
  <si>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</si>
  <si>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</si>
  <si>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</si>
  <si>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</si>
  <si>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</si>
  <si>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</si>
  <si>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</si>
  <si>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</si>
  <si>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</si>
  <si>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</si>
  <si>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</si>
  <si>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</si>
  <si>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</si>
  <si>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</si>
  <si>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</si>
  <si>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</si>
  <si>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</si>
  <si>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</si>
  <si>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</si>
  <si>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</si>
  <si>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</si>
  <si>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</si>
  <si>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</si>
  <si>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</si>
  <si>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</si>
  <si>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</si>
  <si>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</si>
  <si>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</si>
  <si>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</si>
  <si>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</si>
  <si>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</si>
  <si>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</si>
  <si>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</si>
  <si>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</si>
  <si>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</si>
  <si>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</si>
  <si>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</si>
  <si>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</si>
  <si>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</si>
  <si>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</si>
  <si>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</si>
  <si>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</si>
  <si>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</si>
  <si>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</si>
  <si>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</si>
  <si>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</si>
  <si>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</si>
  <si>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</si>
  <si>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</si>
  <si>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</si>
  <si>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</si>
  <si>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</si>
  <si>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</si>
  <si>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</si>
  <si>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</si>
  <si>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</si>
  <si>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</si>
  <si>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</si>
  <si>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</si>
  <si>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</si>
  <si>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</si>
  <si>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</si>
  <si>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</si>
  <si>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</si>
  <si>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</si>
  <si>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</si>
  <si>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</si>
  <si>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</si>
  <si>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</si>
  <si>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</si>
  <si>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</si>
  <si>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</si>
  <si>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</si>
  <si>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</si>
  <si>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</si>
  <si>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</si>
  <si>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</si>
  <si>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</si>
  <si>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</si>
  <si>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</si>
  <si>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</si>
  <si>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</si>
  <si>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</si>
  <si>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</si>
  <si>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</si>
  <si>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</si>
  <si>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</si>
  <si>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</si>
  <si>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</si>
  <si>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</si>
  <si>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</si>
  <si>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</si>
  <si>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</si>
  <si>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</si>
  <si>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</si>
  <si>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</si>
  <si>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</si>
  <si>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</si>
  <si>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</si>
  <si>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</si>
  <si>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</si>
  <si>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</si>
  <si>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</si>
  <si>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</si>
  <si>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</si>
  <si>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</si>
  <si>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</si>
  <si>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</si>
  <si>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</si>
  <si>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</si>
  <si>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</si>
  <si>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</si>
  <si>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</si>
  <si>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</si>
  <si>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</si>
  <si>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</si>
  <si>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</si>
  <si>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</si>
  <si>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</si>
  <si>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</si>
  <si>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</si>
  <si>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</si>
  <si>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</si>
  <si>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</si>
  <si>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</si>
  <si>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</si>
  <si>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</si>
  <si>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</si>
  <si>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</si>
  <si>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</si>
  <si>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</si>
  <si>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</si>
  <si>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</si>
  <si>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</si>
  <si>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</si>
  <si>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</si>
  <si>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</si>
  <si>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</si>
  <si>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</si>
  <si>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</si>
  <si>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</si>
  <si>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</si>
  <si>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</si>
  <si>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</si>
  <si>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</si>
  <si>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</si>
  <si>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</si>
  <si>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</si>
  <si>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</si>
  <si>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</si>
  <si>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</si>
  <si>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</si>
  <si>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</si>
  <si>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</si>
  <si>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</si>
  <si>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</si>
  <si>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</si>
  <si>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</si>
  <si>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</si>
  <si>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</si>
  <si>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</si>
  <si>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</si>
  <si>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</si>
  <si>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</si>
  <si>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</si>
  <si>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</si>
  <si>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</si>
  <si>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</si>
  <si>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</si>
  <si>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</si>
  <si>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</si>
  <si>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</si>
  <si>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</si>
  <si>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</si>
  <si>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</si>
  <si>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</si>
  <si>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</si>
  <si>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</si>
  <si>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</si>
  <si>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</si>
  <si>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</si>
  <si>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</si>
  <si>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</si>
  <si>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</si>
  <si>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</si>
  <si>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</si>
  <si>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</si>
  <si>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</si>
  <si>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</si>
  <si>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</si>
  <si>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</si>
  <si>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</si>
  <si>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</si>
  <si>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</si>
  <si>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</si>
  <si>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</si>
  <si>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</si>
  <si>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</si>
  <si>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</si>
  <si>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</si>
  <si>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</si>
  <si>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</si>
  <si>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</si>
  <si>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</si>
  <si>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</si>
  <si>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</si>
  <si>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</si>
  <si>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</si>
  <si>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</si>
  <si>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</si>
  <si>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</si>
  <si>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</si>
  <si>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</si>
  <si>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</si>
  <si>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</si>
  <si>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</si>
  <si>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</si>
  <si>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</si>
  <si>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</si>
  <si>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</si>
  <si>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</si>
  <si>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</si>
  <si>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</si>
  <si>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</si>
  <si>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</si>
  <si>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</si>
  <si>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</si>
  <si>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</si>
  <si>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</si>
  <si>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</si>
  <si>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</si>
  <si>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</si>
  <si>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</si>
  <si>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</si>
  <si>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</si>
  <si>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</si>
  <si>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</si>
  <si>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</si>
  <si>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</si>
  <si>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</si>
  <si>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</si>
  <si>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</si>
  <si>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</si>
  <si>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</si>
  <si>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</si>
  <si>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</si>
  <si>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</si>
  <si>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</si>
  <si>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</si>
  <si>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</si>
  <si>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</si>
  <si>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</si>
  <si>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</si>
  <si>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</si>
  <si>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</si>
  <si>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</si>
  <si>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</si>
  <si>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</si>
  <si>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</si>
  <si>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</si>
  <si>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</si>
  <si>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</si>
  <si>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</si>
  <si>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</si>
  <si>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</si>
  <si>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</si>
  <si>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</si>
  <si>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</si>
  <si>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</si>
  <si>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</si>
  <si>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</si>
  <si>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</si>
  <si>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</si>
  <si>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</si>
  <si>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</si>
  <si>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</si>
  <si>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</si>
  <si>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</si>
  <si>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</si>
  <si>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</si>
  <si>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</si>
  <si>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</si>
  <si>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</si>
  <si>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</si>
  <si>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</si>
  <si>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</si>
  <si>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</si>
  <si>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</si>
  <si>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</si>
  <si>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</si>
  <si>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</si>
  <si>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</si>
  <si>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</si>
  <si>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</si>
  <si>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</si>
  <si>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</si>
  <si>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</si>
  <si>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</si>
  <si>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</si>
  <si>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</si>
  <si>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</si>
  <si>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</si>
  <si>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</si>
  <si>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</si>
  <si>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</si>
  <si>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</si>
  <si>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</si>
  <si>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</si>
  <si>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</si>
  <si>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</si>
  <si>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</si>
  <si>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</si>
  <si>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</si>
  <si>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</si>
  <si>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</si>
  <si>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</si>
  <si>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</si>
  <si>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</si>
  <si>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</si>
  <si>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</si>
  <si>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</si>
  <si>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</si>
  <si>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</si>
  <si>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</si>
  <si>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</si>
  <si>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</si>
  <si>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</si>
  <si>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</si>
  <si>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</si>
  <si>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</si>
  <si>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</si>
  <si>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</si>
  <si>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</si>
  <si>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</si>
  <si>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</si>
  <si>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</si>
  <si>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</si>
  <si>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</si>
  <si>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</si>
  <si>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</si>
  <si>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</si>
  <si>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</si>
  <si>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</si>
  <si>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</si>
  <si>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</si>
  <si>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</si>
  <si>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</si>
  <si>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</si>
  <si>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</si>
  <si>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</si>
  <si>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</si>
  <si>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</si>
  <si>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</si>
  <si>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</si>
  <si>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</si>
  <si>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</si>
  <si>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</si>
  <si>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</si>
  <si>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</si>
  <si>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</si>
  <si>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</si>
  <si>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</si>
  <si>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</si>
  <si>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</si>
  <si>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</si>
  <si>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</si>
  <si>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</si>
  <si>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</si>
  <si>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</si>
  <si>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</si>
  <si>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</si>
  <si>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</si>
  <si>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</si>
  <si>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</si>
  <si>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</si>
  <si>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</si>
  <si>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</si>
  <si>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</si>
  <si>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</si>
  <si>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</si>
  <si>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</si>
  <si>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</si>
  <si>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</si>
  <si>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</si>
  <si>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</si>
  <si>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</si>
  <si>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</si>
  <si>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</si>
  <si>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</si>
  <si>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</si>
  <si>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</si>
  <si>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</si>
  <si>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</si>
  <si>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</si>
  <si>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</si>
  <si>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</si>
  <si>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</si>
  <si>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</si>
  <si>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</si>
  <si>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</si>
  <si>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</si>
  <si>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</si>
  <si>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</si>
  <si>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</si>
  <si>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</si>
  <si>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</si>
  <si>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</si>
  <si>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</si>
  <si>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</si>
  <si>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</si>
  <si>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</si>
  <si>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</si>
  <si>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</si>
  <si>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</si>
  <si>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</si>
  <si>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</si>
  <si>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</si>
  <si>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</si>
  <si>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</si>
  <si>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</si>
  <si>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</si>
  <si>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</si>
  <si>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</si>
  <si>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</si>
  <si>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</si>
  <si>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</si>
  <si>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</si>
  <si>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</si>
  <si>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</si>
  <si>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</si>
  <si>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</si>
  <si>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</si>
  <si>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</si>
  <si>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</si>
  <si>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</si>
  <si>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</si>
  <si>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</si>
  <si>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</si>
  <si>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</si>
  <si>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</si>
  <si>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</si>
  <si>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</si>
  <si>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</si>
  <si>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</si>
  <si>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</si>
  <si>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</si>
  <si>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</si>
  <si>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</si>
  <si>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</si>
  <si>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</si>
  <si>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</si>
  <si>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</si>
  <si>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</si>
  <si>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</si>
  <si>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</si>
  <si>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</si>
  <si>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</si>
  <si>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</si>
  <si>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</si>
  <si>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</si>
  <si>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</si>
  <si>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</si>
  <si>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</si>
  <si>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</si>
  <si>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</si>
  <si>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</si>
  <si>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</si>
  <si>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</si>
  <si>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</si>
  <si>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</si>
  <si>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</si>
  <si>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</si>
  <si>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</si>
  <si>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</si>
  <si>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</si>
  <si>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</si>
  <si>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</si>
  <si>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</si>
  <si>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</si>
  <si>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</si>
  <si>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</si>
  <si>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</si>
  <si>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</si>
  <si>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</si>
  <si>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</si>
  <si>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</si>
  <si>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</si>
  <si>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</si>
  <si>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</si>
  <si>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</si>
  <si>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</si>
  <si>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</si>
  <si>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</si>
  <si>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</si>
  <si>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</si>
  <si>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</si>
  <si>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</si>
  <si>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</si>
  <si>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</si>
  <si>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</si>
  <si>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</si>
  <si>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</si>
  <si>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</si>
  <si>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</si>
  <si>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</si>
  <si>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</si>
  <si>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</si>
  <si>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</si>
  <si>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</si>
  <si>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</si>
  <si>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</si>
  <si>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</si>
  <si>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</si>
  <si>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</si>
  <si>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</si>
  <si>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</si>
  <si>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</si>
  <si>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</si>
  <si>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</si>
  <si>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</si>
  <si>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</si>
  <si>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</si>
  <si>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</si>
  <si>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</si>
  <si>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</si>
  <si>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</si>
  <si>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</si>
  <si>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</si>
  <si>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</si>
  <si>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</si>
  <si>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</si>
  <si>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</si>
  <si>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</si>
  <si>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</si>
  <si>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</si>
  <si>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</si>
  <si>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</si>
  <si>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</si>
  <si>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</si>
  <si>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</si>
  <si>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</si>
  <si>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</si>
  <si>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</si>
  <si>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</si>
  <si>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</si>
  <si>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</si>
  <si>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</si>
  <si>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</si>
  <si>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</si>
  <si>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</si>
  <si>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</si>
  <si>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</si>
  <si>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</si>
  <si>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</si>
  <si>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</si>
  <si>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</si>
  <si>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</si>
  <si>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</si>
  <si>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</si>
  <si>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</si>
  <si>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</si>
  <si>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</si>
  <si>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</si>
  <si>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</si>
  <si>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</si>
  <si>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</si>
  <si>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</si>
  <si>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</si>
  <si>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</si>
  <si>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</si>
  <si>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</si>
  <si>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</si>
  <si>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</si>
  <si>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</si>
  <si>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</si>
  <si>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</si>
  <si>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</si>
  <si>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</si>
  <si>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</si>
  <si>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</si>
  <si>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</si>
  <si>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</si>
  <si>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</si>
  <si>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</si>
  <si>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</si>
  <si>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</si>
  <si>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</si>
  <si>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</si>
  <si>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</si>
  <si>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</si>
  <si>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</si>
  <si>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</si>
  <si>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</si>
  <si>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</si>
  <si>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</si>
  <si>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</si>
  <si>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</si>
  <si>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</si>
  <si>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</si>
  <si>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</si>
  <si>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</si>
  <si>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</si>
  <si>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</si>
  <si>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</si>
  <si>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</si>
  <si>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</si>
  <si>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</si>
  <si>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</si>
  <si>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</si>
  <si>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</si>
  <si>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</si>
  <si>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</si>
  <si>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</si>
  <si>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</si>
  <si>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</si>
  <si>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</si>
  <si>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</si>
  <si>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</si>
  <si>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</si>
  <si>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</si>
  <si>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</si>
  <si>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</si>
  <si>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</si>
  <si>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</si>
  <si>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</si>
  <si>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</si>
  <si>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</si>
  <si>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</si>
  <si>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</si>
  <si>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</si>
  <si>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</si>
  <si>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</si>
  <si>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</si>
  <si>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</si>
  <si>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</si>
  <si>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</si>
  <si>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</si>
  <si>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</si>
  <si>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</si>
  <si>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</si>
  <si>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</si>
  <si>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</si>
  <si>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</si>
  <si>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</si>
  <si>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</si>
  <si>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</si>
  <si>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</si>
  <si>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</si>
  <si>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</si>
  <si>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</si>
  <si>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</si>
  <si>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</si>
  <si>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</si>
  <si>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</si>
  <si>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</si>
  <si>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</si>
  <si>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</si>
  <si>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</si>
  <si>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</si>
  <si>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</si>
  <si>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</si>
  <si>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</si>
  <si>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</si>
  <si>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</si>
  <si>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</si>
  <si>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</si>
  <si>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</si>
  <si>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</si>
  <si>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</si>
  <si>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</si>
  <si>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</si>
  <si>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</si>
  <si>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</si>
  <si>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</si>
  <si>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</si>
  <si>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</si>
  <si>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</si>
  <si>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</si>
  <si>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</si>
  <si>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</si>
  <si>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</si>
  <si>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</si>
  <si>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</si>
  <si>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</si>
  <si>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</si>
  <si>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</si>
  <si>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</si>
  <si>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</si>
  <si>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</si>
  <si>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</si>
  <si>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</si>
  <si>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</si>
  <si>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</si>
  <si>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</si>
  <si>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</si>
  <si>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</si>
  <si>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</si>
  <si>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</si>
  <si>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</si>
  <si>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</si>
  <si>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</si>
  <si>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</si>
  <si>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</si>
  <si>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</si>
  <si>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</si>
  <si>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</si>
  <si>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</si>
  <si>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</si>
  <si>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</si>
  <si>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</si>
  <si>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</si>
  <si>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</si>
  <si>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</si>
  <si>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</si>
  <si>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</si>
  <si>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</si>
  <si>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</si>
  <si>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</si>
  <si>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</si>
  <si>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</si>
  <si>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</si>
  <si>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</si>
  <si>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</si>
  <si>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</si>
  <si>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</si>
  <si>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</si>
  <si>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</si>
  <si>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</si>
  <si>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</si>
  <si>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</si>
  <si>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</si>
  <si>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</si>
  <si>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</si>
  <si>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</si>
  <si>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</si>
  <si>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</si>
  <si>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</si>
  <si>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</si>
  <si>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</si>
  <si>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</si>
  <si>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</si>
  <si>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</si>
  <si>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</si>
  <si>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</si>
  <si>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</si>
  <si>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</si>
  <si>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</si>
  <si>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</si>
  <si>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</si>
  <si>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</si>
  <si>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</si>
  <si>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</si>
  <si>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</si>
  <si>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</si>
  <si>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</si>
  <si>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</si>
  <si>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</si>
  <si>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</si>
  <si>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</si>
  <si>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</si>
  <si>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</si>
  <si>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</si>
  <si>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</si>
  <si>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</si>
  <si>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</si>
  <si>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</si>
  <si>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</si>
  <si>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</si>
  <si>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</si>
  <si>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</si>
  <si>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</si>
  <si>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</si>
  <si>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</si>
  <si>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</si>
  <si>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</si>
  <si>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</si>
  <si>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</si>
  <si>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</si>
  <si>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</si>
  <si>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</si>
  <si>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</si>
  <si>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</si>
  <si>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</si>
  <si>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</si>
  <si>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</si>
  <si>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</si>
  <si>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</si>
  <si>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</si>
  <si>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</si>
  <si>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</si>
  <si>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</si>
  <si>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</si>
  <si>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</si>
  <si>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</si>
  <si>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</si>
  <si>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</si>
  <si>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</si>
  <si>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</si>
  <si>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</si>
  <si>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</si>
  <si>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</si>
  <si>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</si>
  <si>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</si>
  <si>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</si>
  <si>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</si>
  <si>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</si>
  <si>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</si>
  <si>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</si>
  <si>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</si>
  <si>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</si>
  <si>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</si>
  <si>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</si>
  <si>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</si>
  <si>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</si>
  <si>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</si>
  <si>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</si>
  <si>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</si>
  <si>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</si>
  <si>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</si>
  <si>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</si>
  <si>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</si>
  <si>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</si>
  <si>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</si>
  <si>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</si>
  <si>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</si>
  <si>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</si>
  <si>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</si>
  <si>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</si>
  <si>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</si>
  <si>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</si>
  <si>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</si>
  <si>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</si>
  <si>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</si>
  <si>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</si>
  <si>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</si>
  <si>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</si>
  <si>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</si>
  <si>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</si>
  <si>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</si>
  <si>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</si>
  <si>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</si>
  <si>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</si>
  <si>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</si>
  <si>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</si>
  <si>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</si>
  <si>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</si>
  <si>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</si>
  <si>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</si>
  <si>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</si>
  <si>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</si>
  <si>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</si>
  <si>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</si>
  <si>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</si>
  <si>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</si>
  <si>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</si>
  <si>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</si>
  <si>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</si>
  <si>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</si>
  <si>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</si>
  <si>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</si>
  <si>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</si>
  <si>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</si>
  <si>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</si>
  <si>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</si>
  <si>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</si>
  <si>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</si>
  <si>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</si>
  <si>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</si>
  <si>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</si>
  <si>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</si>
  <si>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</si>
  <si>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</si>
  <si>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</si>
  <si>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</si>
  <si>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</si>
  <si>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</si>
  <si>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</si>
  <si>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</si>
  <si>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</si>
  <si>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</si>
  <si>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</si>
  <si>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</si>
  <si>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</si>
  <si>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</si>
  <si>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</si>
  <si>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</si>
  <si>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</si>
  <si>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</si>
  <si>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</si>
  <si>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</si>
  <si>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</si>
  <si>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</si>
  <si>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</si>
  <si>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</si>
  <si>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</si>
  <si>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</si>
  <si>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</si>
  <si>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</si>
  <si>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</si>
  <si>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</si>
  <si>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</si>
  <si>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</si>
  <si>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</si>
  <si>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</si>
  <si>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</si>
  <si>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</si>
  <si>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</si>
  <si>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</si>
  <si>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</si>
  <si>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</si>
  <si>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</si>
  <si>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</si>
  <si>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</si>
  <si>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</si>
  <si>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</si>
  <si>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</si>
  <si>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</si>
  <si>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</si>
  <si>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</si>
  <si>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</si>
  <si>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</si>
  <si>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</si>
  <si>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</si>
  <si>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</si>
  <si>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</si>
  <si>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</si>
  <si>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</si>
  <si>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</si>
  <si>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</si>
  <si>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</si>
  <si>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</si>
  <si>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</si>
  <si>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</si>
  <si>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</si>
  <si>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</si>
  <si>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</si>
  <si>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</si>
  <si>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</si>
  <si>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</si>
  <si>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</si>
  <si>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</si>
  <si>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</si>
  <si>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</si>
  <si>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</si>
  <si>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</si>
  <si>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</si>
  <si>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</si>
  <si>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</si>
  <si>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</si>
  <si>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</si>
  <si>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</si>
  <si>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</si>
  <si>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</si>
  <si>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</si>
  <si>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</si>
  <si>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</si>
  <si>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</si>
  <si>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</si>
  <si>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</si>
  <si>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</si>
  <si>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</si>
  <si>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</si>
  <si>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</si>
  <si>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</si>
  <si>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</si>
  <si>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</si>
  <si>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</si>
  <si>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</si>
  <si>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</si>
  <si>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</si>
  <si>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</si>
  <si>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</si>
  <si>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</si>
  <si>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</si>
  <si>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</si>
  <si>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</si>
  <si>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</si>
  <si>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</si>
  <si>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</si>
  <si>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</si>
  <si>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</si>
  <si>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</si>
  <si>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</si>
  <si>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</si>
  <si>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</si>
  <si>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</si>
  <si>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</si>
  <si>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</si>
  <si>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</si>
  <si>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</si>
  <si>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</si>
  <si>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</si>
  <si>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</si>
  <si>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</si>
  <si>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</si>
  <si>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</si>
  <si>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</si>
  <si>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</si>
  <si>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</si>
  <si>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</si>
  <si>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</si>
  <si>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</si>
  <si>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</si>
  <si>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</si>
  <si>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</si>
  <si>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</si>
  <si>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</si>
  <si>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</si>
  <si>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</si>
  <si>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</si>
  <si>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</si>
  <si>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</si>
  <si>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</si>
  <si>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</si>
  <si>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</si>
  <si>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</si>
  <si>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</si>
  <si>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</si>
  <si>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</si>
  <si>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</si>
  <si>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</si>
  <si>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</si>
  <si>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</si>
  <si>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</si>
  <si>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</si>
  <si>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</si>
  <si>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</si>
  <si>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</si>
  <si>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</si>
  <si>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</si>
  <si>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</si>
  <si>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</si>
  <si>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</si>
  <si>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</si>
  <si>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</si>
  <si>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</si>
  <si>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</si>
  <si>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</si>
  <si>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</si>
  <si>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</si>
  <si>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</si>
  <si>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</si>
  <si>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</si>
  <si>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</si>
  <si>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</si>
  <si>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</si>
  <si>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</si>
  <si>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</si>
  <si>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</si>
  <si>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</si>
  <si>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</si>
  <si>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</si>
  <si>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</si>
  <si>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</si>
  <si>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</si>
  <si>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</si>
  <si>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</si>
  <si>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</si>
  <si>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</si>
  <si>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</si>
  <si>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</si>
  <si>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</si>
  <si>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</si>
  <si>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</si>
  <si>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</si>
  <si>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</si>
  <si>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</si>
  <si>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</si>
  <si>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</si>
  <si>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</si>
  <si>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</si>
  <si>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</si>
  <si>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</si>
  <si>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</si>
  <si>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</si>
  <si>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</si>
  <si>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</si>
  <si>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</si>
  <si>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</si>
  <si>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</si>
  <si>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</si>
  <si>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</si>
  <si>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</si>
  <si>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</si>
  <si>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</si>
  <si>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</si>
  <si>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</si>
  <si>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</si>
  <si>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</si>
  <si>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</si>
  <si>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</si>
  <si>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</si>
  <si>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</si>
  <si>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</si>
  <si>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</si>
  <si>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</si>
  <si>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</si>
  <si>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</si>
  <si>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</si>
  <si>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</si>
  <si>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</si>
  <si>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</si>
  <si>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</si>
  <si>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</si>
  <si>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</si>
  <si>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</si>
  <si>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</si>
  <si>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</si>
  <si>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</si>
  <si>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</si>
  <si>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</si>
  <si>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</si>
  <si>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</si>
  <si>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</si>
  <si>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</si>
  <si>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</si>
  <si>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</si>
  <si>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</si>
  <si>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</si>
  <si>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</si>
  <si>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</si>
  <si>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</si>
  <si>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</si>
  <si>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</si>
  <si>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</si>
  <si>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</si>
  <si>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</si>
  <si>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</si>
  <si>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</si>
  <si>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</si>
  <si>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</si>
  <si>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</si>
  <si>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</si>
  <si>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</si>
  <si>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</si>
  <si>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</si>
  <si>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</si>
  <si>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</si>
  <si>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</si>
  <si>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</si>
  <si>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</si>
  <si>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</si>
  <si>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</si>
  <si>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</si>
  <si>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</si>
  <si>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</si>
  <si>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</si>
  <si>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</si>
  <si>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</si>
  <si>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</si>
  <si>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</si>
  <si>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</si>
  <si>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</si>
  <si>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</si>
  <si>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</si>
  <si>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</si>
  <si>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</si>
  <si>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</si>
  <si>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</si>
  <si>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</si>
  <si>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</si>
  <si>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</si>
  <si>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</si>
  <si>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</si>
  <si>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</si>
  <si>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</si>
  <si>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</si>
  <si>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</si>
  <si>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</si>
  <si>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</si>
  <si>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</si>
  <si>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</si>
  <si>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</si>
  <si>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</si>
  <si>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</si>
  <si>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</si>
  <si>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</si>
  <si>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</si>
  <si>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</si>
  <si>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</si>
  <si>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</si>
  <si>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</si>
  <si>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</si>
  <si>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</si>
  <si>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</si>
  <si>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</si>
  <si>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</si>
  <si>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</si>
  <si>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</si>
  <si>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</si>
  <si>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</si>
  <si>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</si>
  <si>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</si>
  <si>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</si>
  <si>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</si>
  <si>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</si>
  <si>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</si>
  <si>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</si>
  <si>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</si>
  <si>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</si>
  <si>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</si>
  <si>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</si>
  <si>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</si>
  <si>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</si>
  <si>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</si>
  <si>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</si>
  <si>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</si>
  <si>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</si>
  <si>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</si>
  <si>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</si>
  <si>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</si>
  <si>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</si>
  <si>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</si>
  <si>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</si>
  <si>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</si>
  <si>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</si>
  <si>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</si>
  <si>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</si>
  <si>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</si>
  <si>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</si>
  <si>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</si>
  <si>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</si>
  <si>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</si>
  <si>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</si>
  <si>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</si>
  <si>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</si>
  <si>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</si>
  <si>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</si>
  <si>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</si>
  <si>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</si>
  <si>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</si>
  <si>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</si>
  <si>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</si>
  <si>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</si>
  <si>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</si>
  <si>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</si>
  <si>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</si>
  <si>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</si>
  <si>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</si>
  <si>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</si>
  <si>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</si>
  <si>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</si>
  <si>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</si>
  <si>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</si>
  <si>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</si>
  <si>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</si>
  <si>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</si>
  <si>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</si>
  <si>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</si>
  <si>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</si>
  <si>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</si>
  <si>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</si>
  <si>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</si>
  <si>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</si>
  <si>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</si>
  <si>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</si>
  <si>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</si>
  <si>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</si>
  <si>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</si>
  <si>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</si>
  <si>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</si>
  <si>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</si>
  <si>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</si>
  <si>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</si>
  <si>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</si>
  <si>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</si>
  <si>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</si>
  <si>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</si>
  <si>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</si>
  <si>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</si>
  <si>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</si>
  <si>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</si>
  <si>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</si>
  <si>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</si>
  <si>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</si>
  <si>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</si>
  <si>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</si>
  <si>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</si>
  <si>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</si>
  <si>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</si>
  <si>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</si>
  <si>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</si>
  <si>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</si>
  <si>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</si>
  <si>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</si>
  <si>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</si>
  <si>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</si>
  <si>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</si>
  <si>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</si>
  <si>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</si>
  <si>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</si>
  <si>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</si>
  <si>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</si>
  <si>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</si>
  <si>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</si>
  <si>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</si>
  <si>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</si>
  <si>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</si>
  <si>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</si>
  <si>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</si>
  <si>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</si>
  <si>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</si>
  <si>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</si>
  <si>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</si>
  <si>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</si>
  <si>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</si>
  <si>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</si>
  <si>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</si>
  <si>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</si>
  <si>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</si>
  <si>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</si>
  <si>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</si>
  <si>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</si>
  <si>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</si>
  <si>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</si>
  <si>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</si>
  <si>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</si>
  <si>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</si>
  <si>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</si>
  <si>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</si>
  <si>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</si>
  <si>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</si>
  <si>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</si>
  <si>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</si>
  <si>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</si>
  <si>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</si>
  <si>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</si>
  <si>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</si>
  <si>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</si>
  <si>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</si>
  <si>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</si>
  <si>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</si>
  <si>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</si>
  <si>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</si>
  <si>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</si>
  <si>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</si>
  <si>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</si>
  <si>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</si>
  <si>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</si>
  <si>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</si>
  <si>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</si>
  <si>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</si>
  <si>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</si>
  <si>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</si>
  <si>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</si>
  <si>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</si>
  <si>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</si>
  <si>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</si>
  <si>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</si>
  <si>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</si>
  <si>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</si>
  <si>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</si>
  <si>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</si>
  <si>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</si>
  <si>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</si>
  <si>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</si>
  <si>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</si>
  <si>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</si>
  <si>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</si>
  <si>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</si>
  <si>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</si>
  <si>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</si>
  <si>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</si>
  <si>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</si>
  <si>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</si>
  <si>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</si>
  <si>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</si>
  <si>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</si>
  <si>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</si>
  <si>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</si>
  <si>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</si>
  <si>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</si>
  <si>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</si>
  <si>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</si>
  <si>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</si>
  <si>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</si>
  <si>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</si>
  <si>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</si>
  <si>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</si>
  <si>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</si>
  <si>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</si>
  <si>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</si>
  <si>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</si>
  <si>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</si>
  <si>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</si>
  <si>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</si>
  <si>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</si>
  <si>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</si>
  <si>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</si>
  <si>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</si>
  <si>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</si>
  <si>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</si>
  <si>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</si>
  <si>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</si>
  <si>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</si>
  <si>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</si>
  <si>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</si>
  <si>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</si>
  <si>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</si>
  <si>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</si>
  <si>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</si>
  <si>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</si>
  <si>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</si>
  <si>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</si>
  <si>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</si>
  <si>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</si>
  <si>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</si>
  <si>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</si>
  <si>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</si>
  <si>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</si>
  <si>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</si>
  <si>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</si>
  <si>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</si>
  <si>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</si>
  <si>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</si>
  <si>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</si>
  <si>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</si>
  <si>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</si>
  <si>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</si>
  <si>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</si>
  <si>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</si>
  <si>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</si>
  <si>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</si>
  <si>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</si>
  <si>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</si>
  <si>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</si>
  <si>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</si>
  <si>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</si>
  <si>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</si>
  <si>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</si>
  <si>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</si>
  <si>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</si>
  <si>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</si>
  <si>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</si>
  <si>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</si>
  <si>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</si>
  <si>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</si>
  <si>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</si>
  <si>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</si>
  <si>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</si>
  <si>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</si>
  <si>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</si>
  <si>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</si>
  <si>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</si>
  <si>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</si>
  <si>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</si>
  <si>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</si>
  <si>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</si>
  <si>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</si>
  <si>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</si>
  <si>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</si>
  <si>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</si>
  <si>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</si>
  <si>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</si>
  <si>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</si>
  <si>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</si>
  <si>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</si>
  <si>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</si>
  <si>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</si>
  <si>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</si>
  <si>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</si>
  <si>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</si>
  <si>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</si>
  <si>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</si>
  <si>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</si>
  <si>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</si>
  <si>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</si>
  <si>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</si>
  <si>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</si>
  <si>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</si>
  <si>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</si>
  <si>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</si>
  <si>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</si>
  <si>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</si>
  <si>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</si>
  <si>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</si>
  <si>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</si>
  <si>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</si>
  <si>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</si>
  <si>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</si>
  <si>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</si>
  <si>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</si>
  <si>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</si>
  <si>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</si>
  <si>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</si>
  <si>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</si>
  <si>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</si>
  <si>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</si>
  <si>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</si>
  <si>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</si>
  <si>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</si>
  <si>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</si>
  <si>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</si>
  <si>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</si>
  <si>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</si>
  <si>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</si>
  <si>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</si>
  <si>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</si>
  <si>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</si>
  <si>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</si>
  <si>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</si>
  <si>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</si>
  <si>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</si>
  <si>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</si>
  <si>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</si>
  <si>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</si>
  <si>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</si>
  <si>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</si>
  <si>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</si>
  <si>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</si>
  <si>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</si>
  <si>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</si>
  <si>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</si>
  <si>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</si>
  <si>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</si>
  <si>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</si>
  <si>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</si>
  <si>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</si>
  <si>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</si>
  <si>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</si>
  <si>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</si>
  <si>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</si>
  <si>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</si>
  <si>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</si>
  <si>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</si>
  <si>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</si>
  <si>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</si>
  <si>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</si>
  <si>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</si>
  <si>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</si>
  <si>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</si>
  <si>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</si>
  <si>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</si>
  <si>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</si>
  <si>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</si>
  <si>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</si>
  <si>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</si>
  <si>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</si>
  <si>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</si>
  <si>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</si>
  <si>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</si>
  <si>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</si>
  <si>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</si>
  <si>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</si>
  <si>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</si>
  <si>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</si>
  <si>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</si>
  <si>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</si>
  <si>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</si>
  <si>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</si>
  <si>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</si>
  <si>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</si>
  <si>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</si>
  <si>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</si>
  <si>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</si>
  <si>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</si>
  <si>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</si>
  <si>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</si>
  <si>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</si>
  <si>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</si>
  <si>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</si>
  <si>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</si>
  <si>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</si>
  <si>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</si>
  <si>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</si>
  <si>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</si>
  <si>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</si>
  <si>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</si>
  <si>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</si>
  <si>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</si>
  <si>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</si>
  <si>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</si>
  <si>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</si>
  <si>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</si>
  <si>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</si>
  <si>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</si>
  <si>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</si>
  <si>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</si>
  <si>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</si>
  <si>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</si>
  <si>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</si>
  <si>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</si>
  <si>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</si>
  <si>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</si>
  <si>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</si>
  <si>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</si>
  <si>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</si>
  <si>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</si>
  <si>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</si>
  <si>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</si>
  <si>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</si>
  <si>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</si>
  <si>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</si>
  <si>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</si>
  <si>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</si>
  <si>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</si>
  <si>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</si>
  <si>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</si>
  <si>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</si>
  <si>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</si>
  <si>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</si>
  <si>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</si>
  <si>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</si>
  <si>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</si>
  <si>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</si>
  <si>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</si>
  <si>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</si>
  <si>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</si>
  <si>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</si>
  <si>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</si>
  <si>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</si>
  <si>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</si>
  <si>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</si>
  <si>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</si>
  <si>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</si>
  <si>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</si>
  <si>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</si>
  <si>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</si>
  <si>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</si>
  <si>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</si>
  <si>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</si>
  <si>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</si>
  <si>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</si>
  <si>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</si>
  <si>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</si>
  <si>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</si>
  <si>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</si>
  <si>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</si>
  <si>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</si>
  <si>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</si>
  <si>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</si>
  <si>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</si>
  <si>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</si>
  <si>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</si>
  <si>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</si>
  <si>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</si>
  <si>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</si>
  <si>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</si>
  <si>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</si>
  <si>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</si>
  <si>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</si>
  <si>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</si>
  <si>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</si>
  <si>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</si>
  <si>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</si>
  <si>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</si>
  <si>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</si>
  <si>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</si>
  <si>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</si>
  <si>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</si>
  <si>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</si>
  <si>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</si>
  <si>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</si>
  <si>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</si>
  <si>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</si>
  <si>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</si>
  <si>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</si>
  <si>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</si>
  <si>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</si>
  <si>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</si>
  <si>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</si>
  <si>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</si>
  <si>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</si>
  <si>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</si>
  <si>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</si>
  <si>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</si>
  <si>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</si>
  <si>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</si>
  <si>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</si>
  <si>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</si>
  <si>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</si>
  <si>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</si>
  <si>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</si>
  <si>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</si>
  <si>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</si>
  <si>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</si>
  <si>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</si>
  <si>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</si>
  <si>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</si>
  <si>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</si>
  <si>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</si>
  <si>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</si>
  <si>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</si>
  <si>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</si>
  <si>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</si>
  <si>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</si>
  <si>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</si>
  <si>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</si>
  <si>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</si>
  <si>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</si>
  <si>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</si>
  <si>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</si>
  <si>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</si>
  <si>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</si>
  <si>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</si>
  <si>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</si>
  <si>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</si>
  <si>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</si>
  <si>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</si>
  <si>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</si>
  <si>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</si>
  <si>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</si>
  <si>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</si>
  <si>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</si>
  <si>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</si>
  <si>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</si>
  <si>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</si>
  <si>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</si>
  <si>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</si>
  <si>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</si>
  <si>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</si>
  <si>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</si>
  <si>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</si>
  <si>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</si>
  <si>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</si>
  <si>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</si>
  <si>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</si>
  <si>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</si>
  <si>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</si>
  <si>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</si>
  <si>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</si>
  <si>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</si>
  <si>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</si>
  <si>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</si>
  <si>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</si>
  <si>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</si>
  <si>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</si>
  <si>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</si>
  <si>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</si>
  <si>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</si>
  <si>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</si>
  <si>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</si>
  <si>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</si>
  <si>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</si>
  <si>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</si>
  <si>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</si>
  <si>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</si>
  <si>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</si>
  <si>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</si>
  <si>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</si>
  <si>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</si>
  <si>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</si>
  <si>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</si>
  <si>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</si>
  <si>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</si>
  <si>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</si>
  <si>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</si>
  <si>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</si>
  <si>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</si>
  <si>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</si>
  <si>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</si>
  <si>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</si>
  <si>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</si>
  <si>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</si>
  <si>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</si>
  <si>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</si>
  <si>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</si>
  <si>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</si>
  <si>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</si>
  <si>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</si>
  <si>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</si>
  <si>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</si>
  <si>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</si>
  <si>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</si>
  <si>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</si>
  <si>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</si>
  <si>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</si>
  <si>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</si>
  <si>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</si>
  <si>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</si>
  <si>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</si>
  <si>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</si>
  <si>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</si>
  <si>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</si>
  <si>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</si>
  <si>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</si>
  <si>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</si>
  <si>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</si>
  <si>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</si>
  <si>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</si>
  <si>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</si>
  <si>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</si>
  <si>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</si>
  <si>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</si>
  <si>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</si>
  <si>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</si>
  <si>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</si>
  <si>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</si>
  <si>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</si>
  <si>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</si>
  <si>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</si>
  <si>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</si>
  <si>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</si>
  <si>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</si>
  <si>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</si>
  <si>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</si>
  <si>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</si>
  <si>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</si>
  <si>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</si>
  <si>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</si>
  <si>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</si>
  <si>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</si>
  <si>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</si>
  <si>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</si>
  <si>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</si>
  <si>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</si>
  <si>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</si>
  <si>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</si>
  <si>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</si>
  <si>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</si>
  <si>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</si>
  <si>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</si>
  <si>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</si>
  <si>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</si>
  <si>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</si>
  <si>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</si>
  <si>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</si>
  <si>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</si>
  <si>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</si>
  <si>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</si>
  <si>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</si>
  <si>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</si>
  <si>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</si>
  <si>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</si>
  <si>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</si>
  <si>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</si>
  <si>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</si>
  <si>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</si>
  <si>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</si>
  <si>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</si>
  <si>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</si>
  <si>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</si>
  <si>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</si>
  <si>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</si>
  <si>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</si>
  <si>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</si>
  <si>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</si>
  <si>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</si>
  <si>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</si>
  <si>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</si>
  <si>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</si>
  <si>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</si>
  <si>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</si>
  <si>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</si>
  <si>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</si>
  <si>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</si>
  <si>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</si>
  <si>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</si>
  <si>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</si>
  <si>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</si>
  <si>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</si>
  <si>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</si>
  <si>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</si>
  <si>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</si>
  <si>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</si>
  <si>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</si>
  <si>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</si>
  <si>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</si>
  <si>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</si>
  <si>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</si>
  <si>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</si>
  <si>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</si>
  <si>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</si>
  <si>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</si>
  <si>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</si>
  <si>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</si>
  <si>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</si>
  <si>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</si>
  <si>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</si>
  <si>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</si>
  <si>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</si>
  <si>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</si>
  <si>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</si>
  <si>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</si>
  <si>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</si>
  <si>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</si>
  <si>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</si>
  <si>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</si>
  <si>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</si>
  <si>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</si>
  <si>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</si>
  <si>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</si>
  <si>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</si>
  <si>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</si>
  <si>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</si>
  <si>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</si>
  <si>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</si>
  <si>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</si>
  <si>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</si>
  <si>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</si>
  <si>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</si>
  <si>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</si>
  <si>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</si>
  <si>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</si>
  <si>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</si>
  <si>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</si>
  <si>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</si>
  <si>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</si>
  <si>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</si>
  <si>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</si>
  <si>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</si>
  <si>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</si>
  <si>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</si>
  <si>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</si>
  <si>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</si>
  <si>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</si>
  <si>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</si>
  <si>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</si>
  <si>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</si>
  <si>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</si>
  <si>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</si>
  <si>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</si>
  <si>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</si>
  <si>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</si>
  <si>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</si>
  <si>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</si>
  <si>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</si>
  <si>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</si>
  <si>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</si>
  <si>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</si>
  <si>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</si>
  <si>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</si>
  <si>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</si>
  <si>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</si>
  <si>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</si>
  <si>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</si>
  <si>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</si>
  <si>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</si>
  <si>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</si>
  <si>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</si>
  <si>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</si>
  <si>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</si>
  <si>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</si>
  <si>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</si>
  <si>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</si>
  <si>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</si>
  <si>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</si>
  <si>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</si>
  <si>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</si>
  <si>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</si>
  <si>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</si>
  <si>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</si>
  <si>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</si>
  <si>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</si>
  <si>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</si>
  <si>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</si>
  <si>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</si>
  <si>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</si>
  <si>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</si>
  <si>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</si>
  <si>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</si>
  <si>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</si>
  <si>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</si>
  <si>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</si>
  <si>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</si>
  <si>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</si>
  <si>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</si>
  <si>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</si>
  <si>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</si>
  <si>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</si>
  <si>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</si>
  <si>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</si>
  <si>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</si>
  <si>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</si>
  <si>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</si>
  <si>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</si>
  <si>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</si>
  <si>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</si>
  <si>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</si>
  <si>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</si>
  <si>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</si>
  <si>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</si>
  <si>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</si>
  <si>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</si>
  <si>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</si>
  <si>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</si>
  <si>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</si>
  <si>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</si>
  <si>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</si>
  <si>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</si>
  <si>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</si>
  <si>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</si>
  <si>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</si>
  <si>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</si>
  <si>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</si>
  <si>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</si>
  <si>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</si>
  <si>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</si>
  <si>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</si>
  <si>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</si>
  <si>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</si>
  <si>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</si>
  <si>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</si>
  <si>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</si>
  <si>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</si>
  <si>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</si>
  <si>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</si>
  <si>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</si>
  <si>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</si>
  <si>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</si>
  <si>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</si>
  <si>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</si>
  <si>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</si>
  <si>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</si>
  <si>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</si>
  <si>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</si>
  <si>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</si>
  <si>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</si>
  <si>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</si>
  <si>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</si>
  <si>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</si>
  <si>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</si>
  <si>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</si>
  <si>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</si>
  <si>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</si>
  <si>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</si>
  <si>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</si>
  <si>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</si>
  <si>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</si>
  <si>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</si>
  <si>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</si>
  <si>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</si>
  <si>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</si>
  <si>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</si>
  <si>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</si>
  <si>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</si>
  <si>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</si>
  <si>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</si>
  <si>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</si>
  <si>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</si>
  <si>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</si>
  <si>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</si>
  <si>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</si>
  <si>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</si>
  <si>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</si>
  <si>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</si>
  <si>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</si>
  <si>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</si>
  <si>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</si>
  <si>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</si>
  <si>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</si>
  <si>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</si>
  <si>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</si>
  <si>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</si>
  <si>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</si>
  <si>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</si>
  <si>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</si>
  <si>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</si>
  <si>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</si>
  <si>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</si>
  <si>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</si>
  <si>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</si>
  <si>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</si>
  <si>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</si>
  <si>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</si>
  <si>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</si>
  <si>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</si>
  <si>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</si>
  <si>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</si>
  <si>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</si>
  <si>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</si>
  <si>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</si>
  <si>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</si>
  <si>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</si>
  <si>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</si>
  <si>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</si>
  <si>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</si>
  <si>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</si>
  <si>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</si>
  <si>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</si>
  <si>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</si>
  <si>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</si>
  <si>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</si>
  <si>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</si>
  <si>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</si>
  <si>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</si>
  <si>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</si>
  <si>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</si>
  <si>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</si>
  <si>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</si>
  <si>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</si>
  <si>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</si>
  <si>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</si>
  <si>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</si>
  <si>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</si>
  <si>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</si>
  <si>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</si>
  <si>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</si>
  <si>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</si>
  <si>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</si>
  <si>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</si>
  <si>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</si>
  <si>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</si>
  <si>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</si>
  <si>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</si>
  <si>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</si>
  <si>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</si>
  <si>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</si>
  <si>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</si>
  <si>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</si>
  <si>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</si>
  <si>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</si>
  <si>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</si>
  <si>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</si>
  <si>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</si>
  <si>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</si>
  <si>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</si>
  <si>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</si>
  <si>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</si>
  <si>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</si>
  <si>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</si>
  <si>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</si>
  <si>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</si>
  <si>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</si>
  <si>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</si>
  <si>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</si>
  <si>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</si>
  <si>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</si>
  <si>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</si>
  <si>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</si>
  <si>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</si>
  <si>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</si>
  <si>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</si>
  <si>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</si>
  <si>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</si>
  <si>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</si>
  <si>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</si>
  <si>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</si>
  <si>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</si>
  <si>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</si>
  <si>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</si>
  <si>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</si>
  <si>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</si>
  <si>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</si>
  <si>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</si>
  <si>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</si>
  <si>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</si>
  <si>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</si>
  <si>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</si>
  <si>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</si>
  <si>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</si>
  <si>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</si>
  <si>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</si>
  <si>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</si>
  <si>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</si>
  <si>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</si>
  <si>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</si>
  <si>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</si>
  <si>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</si>
  <si>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</si>
  <si>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</si>
  <si>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</si>
  <si>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</si>
  <si>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</si>
  <si>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</si>
  <si>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</si>
  <si>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</si>
  <si>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</si>
  <si>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</si>
  <si>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</si>
  <si>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</si>
  <si>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</si>
  <si>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</si>
  <si>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</si>
  <si>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</si>
  <si>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</si>
  <si>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</si>
  <si>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</si>
  <si>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</si>
  <si>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</si>
  <si>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</si>
  <si>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</si>
  <si>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</si>
  <si>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</si>
  <si>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</si>
  <si>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</si>
  <si>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</si>
  <si>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</si>
  <si>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</si>
  <si>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</si>
  <si>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</si>
  <si>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</si>
  <si>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</si>
  <si>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</si>
  <si>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</si>
  <si>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</si>
  <si>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</si>
  <si>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</si>
  <si>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</si>
  <si>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</si>
  <si>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</si>
  <si>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</si>
  <si>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</si>
  <si>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</si>
  <si>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</si>
  <si>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</si>
  <si>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</si>
  <si>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</si>
  <si>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</si>
  <si>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</si>
  <si>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</si>
  <si>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</si>
  <si>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</si>
  <si>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</si>
  <si>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</si>
  <si>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</si>
  <si>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</si>
  <si>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</si>
  <si>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</si>
  <si>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</si>
  <si>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</si>
  <si>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</si>
  <si>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</si>
  <si>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</si>
  <si>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</si>
  <si>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</si>
  <si>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</si>
  <si>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</si>
  <si>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</si>
  <si>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</si>
  <si>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</si>
  <si>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</si>
  <si>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</si>
  <si>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</si>
  <si>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</si>
  <si>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</si>
  <si>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</si>
  <si>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</si>
  <si>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</si>
  <si>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</si>
  <si>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</si>
  <si>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</si>
  <si>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</si>
  <si>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</si>
  <si>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</si>
  <si>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</si>
  <si>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</si>
  <si>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</si>
  <si>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</si>
  <si>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</si>
  <si>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</si>
  <si>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</si>
  <si>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</si>
  <si>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</si>
  <si>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</si>
  <si>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</si>
  <si>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</si>
  <si>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</si>
  <si>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</si>
  <si>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</si>
  <si>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</si>
  <si>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</si>
  <si>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</si>
  <si>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</si>
  <si>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</si>
  <si>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</si>
  <si>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</si>
  <si>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</si>
  <si>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</si>
  <si>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</si>
  <si>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</si>
  <si>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</si>
  <si>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</si>
  <si>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</si>
  <si>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</si>
  <si>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</si>
  <si>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</si>
  <si>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</si>
  <si>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</si>
  <si>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</si>
  <si>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</si>
  <si>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</si>
  <si>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</si>
  <si>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</si>
  <si>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</si>
  <si>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</si>
  <si>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</si>
  <si>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</si>
  <si>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</si>
  <si>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</si>
  <si>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</si>
  <si>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</si>
  <si>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</si>
  <si>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</si>
  <si>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</si>
  <si>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</si>
  <si>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</si>
  <si>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</si>
  <si>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</si>
  <si>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</si>
  <si>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</si>
  <si>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</si>
  <si>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</si>
  <si>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</si>
  <si>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</si>
  <si>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</si>
  <si>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</si>
  <si>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</si>
  <si>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</si>
  <si>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</si>
  <si>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</si>
  <si>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</si>
  <si>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</si>
  <si>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</si>
  <si>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</si>
  <si>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</si>
  <si>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</si>
  <si>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</si>
  <si>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</si>
  <si>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</si>
  <si>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</si>
  <si>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</si>
  <si>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</si>
  <si>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</si>
  <si>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</si>
  <si>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</si>
  <si>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</si>
  <si>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</si>
  <si>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</si>
  <si>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</si>
  <si>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</si>
  <si>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</si>
  <si>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</si>
  <si>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</si>
  <si>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</si>
  <si>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</si>
  <si>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</si>
  <si>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</si>
  <si>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</si>
  <si>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</si>
  <si>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</si>
  <si>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</si>
  <si>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</si>
  <si>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</si>
  <si>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</si>
  <si>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</si>
  <si>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</si>
  <si>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</si>
  <si>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</si>
  <si>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</si>
  <si>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</si>
  <si>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</si>
  <si>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</si>
  <si>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</si>
  <si>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</si>
  <si>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</si>
  <si>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</si>
  <si>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</si>
  <si>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</si>
  <si>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</si>
  <si>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</si>
  <si>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</si>
  <si>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</si>
  <si>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</si>
  <si>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</si>
  <si>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</si>
  <si>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</si>
  <si>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</si>
  <si>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</si>
  <si>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</si>
  <si>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</si>
  <si>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</si>
  <si>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</si>
  <si>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</si>
  <si>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</si>
  <si>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</si>
  <si>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</si>
  <si>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</si>
  <si>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</si>
  <si>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</si>
  <si>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</si>
  <si>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</si>
  <si>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</si>
  <si>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</si>
  <si>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</si>
  <si>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</si>
  <si>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</si>
  <si>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</si>
  <si>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</si>
  <si>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</si>
  <si>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</si>
  <si>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</si>
  <si>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</si>
  <si>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</si>
  <si>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</si>
  <si>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</si>
  <si>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</si>
  <si>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</si>
  <si>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</si>
  <si>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</si>
  <si>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</si>
  <si>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</si>
  <si>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</si>
  <si>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</si>
  <si>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</si>
  <si>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</si>
  <si>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</si>
  <si>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</si>
  <si>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</si>
  <si>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</si>
  <si>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</si>
  <si>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</si>
  <si>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</si>
  <si>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</si>
  <si>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</si>
  <si>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</si>
  <si>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</si>
  <si>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</si>
  <si>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</si>
  <si>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</si>
  <si>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</si>
  <si>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</si>
  <si>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</si>
  <si>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</si>
  <si>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</si>
  <si>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</si>
  <si>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</si>
  <si>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</si>
  <si>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</si>
  <si>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</si>
  <si>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</si>
  <si>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</si>
  <si>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</si>
  <si>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</si>
  <si>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</si>
  <si>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</si>
  <si>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</si>
  <si>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</si>
  <si>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</si>
  <si>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</si>
  <si>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</si>
  <si>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</si>
  <si>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</si>
  <si>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</si>
  <si>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</si>
  <si>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</si>
  <si>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</si>
  <si>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</si>
  <si>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</si>
  <si>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</si>
  <si>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</si>
  <si>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</si>
  <si>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</si>
  <si>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</si>
  <si>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</si>
  <si>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</si>
  <si>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</si>
  <si>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</si>
  <si>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</si>
  <si>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</si>
  <si>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</si>
  <si>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</si>
  <si>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</si>
  <si>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</si>
  <si>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</si>
  <si>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</si>
  <si>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</si>
  <si>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</si>
  <si>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</si>
  <si>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</si>
  <si>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</si>
  <si>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</si>
  <si>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</si>
  <si>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</si>
  <si>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</si>
  <si>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</si>
  <si>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</si>
  <si>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</si>
  <si>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</si>
  <si>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</si>
  <si>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</si>
  <si>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</si>
  <si>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</si>
  <si>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</si>
  <si>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</si>
  <si>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</si>
  <si>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</si>
  <si>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</si>
  <si>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</si>
  <si>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</si>
  <si>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</si>
  <si>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</si>
  <si>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</si>
  <si>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</si>
  <si>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</si>
  <si>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</si>
  <si>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</si>
  <si>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</si>
  <si>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</si>
  <si>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</si>
  <si>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</si>
  <si>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</si>
  <si>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</si>
  <si>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</si>
  <si>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</si>
  <si>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</si>
  <si>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</si>
  <si>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</si>
  <si>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</si>
  <si>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</si>
  <si>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</si>
  <si>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</si>
  <si>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</si>
  <si>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</si>
  <si>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</si>
  <si>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</si>
  <si>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</si>
  <si>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</si>
  <si>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</si>
  <si>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</si>
  <si>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</si>
  <si>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</si>
  <si>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</si>
  <si>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</si>
  <si>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</si>
  <si>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</si>
  <si>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</si>
  <si>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</si>
  <si>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</si>
  <si>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</si>
  <si>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</si>
  <si>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</si>
  <si>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</si>
  <si>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</si>
  <si>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</si>
  <si>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</si>
  <si>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</si>
  <si>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</si>
  <si>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</si>
  <si>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</si>
  <si>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</si>
  <si>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</si>
  <si>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</si>
  <si>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</si>
  <si>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</si>
  <si>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</si>
  <si>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</si>
  <si>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</si>
  <si>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</si>
  <si>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</si>
  <si>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</si>
  <si>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</si>
  <si>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</si>
  <si>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</si>
  <si>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</si>
  <si>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</si>
  <si>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</si>
  <si>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</si>
  <si>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</si>
  <si>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</si>
  <si>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</si>
  <si>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</si>
  <si>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</si>
  <si>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</si>
  <si>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</si>
  <si>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</si>
  <si>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</si>
  <si>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</si>
  <si>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</si>
  <si>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</si>
  <si>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</si>
  <si>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</si>
  <si>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</si>
  <si>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</si>
  <si>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</si>
  <si>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</si>
  <si>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</si>
  <si>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</si>
  <si>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</si>
  <si>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</si>
  <si>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</si>
  <si>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</si>
  <si>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</si>
  <si>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</si>
  <si>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</si>
  <si>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</si>
  <si>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</si>
  <si>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</si>
  <si>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</si>
  <si>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</si>
  <si>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</si>
  <si>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</si>
  <si>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</si>
  <si>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</si>
  <si>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</si>
  <si>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</si>
  <si>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</si>
  <si>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</si>
  <si>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</si>
  <si>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</si>
  <si>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</si>
  <si>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</si>
  <si>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</si>
  <si>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</si>
  <si>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</si>
  <si>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</si>
  <si>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</si>
  <si>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</si>
  <si>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</si>
  <si>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</si>
  <si>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</si>
  <si>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</si>
  <si>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</si>
  <si>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</si>
  <si>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</si>
  <si>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</si>
  <si>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</si>
  <si>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</si>
  <si>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</si>
  <si>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</si>
  <si>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</si>
  <si>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</si>
  <si>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</si>
  <si>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</si>
  <si>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</si>
  <si>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</si>
  <si>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</si>
  <si>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</si>
  <si>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</si>
  <si>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</si>
  <si>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</si>
  <si>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</si>
  <si>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</si>
  <si>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</si>
  <si>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</si>
  <si>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</si>
  <si>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</si>
  <si>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</si>
  <si>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</si>
  <si>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</si>
  <si>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</si>
  <si>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</si>
  <si>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</si>
  <si>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</si>
  <si>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</si>
  <si>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</si>
  <si>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</si>
  <si>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</si>
  <si>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</si>
  <si>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</si>
  <si>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</si>
  <si>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</si>
  <si>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</si>
  <si>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</si>
  <si>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</si>
  <si>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</si>
  <si>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</si>
  <si>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</si>
  <si>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</si>
  <si>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</si>
  <si>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</si>
  <si>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</si>
  <si>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</si>
  <si>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</si>
  <si>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</si>
  <si>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</si>
  <si>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</si>
  <si>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</si>
  <si>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</si>
  <si>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</si>
  <si>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</si>
  <si>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</si>
  <si>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</si>
  <si>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</si>
  <si>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</si>
  <si>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</si>
  <si>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</si>
  <si>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</si>
  <si>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</si>
  <si>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</si>
  <si>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</si>
  <si>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</si>
  <si>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</si>
  <si>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</si>
  <si>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</si>
  <si>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</si>
  <si>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</si>
  <si>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</si>
  <si>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</si>
  <si>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</si>
  <si>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</si>
  <si>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</si>
  <si>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</si>
  <si>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</si>
  <si>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</si>
  <si>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</si>
  <si>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</si>
  <si>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</si>
  <si>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</si>
  <si>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</si>
  <si>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</si>
  <si>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</si>
  <si>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</si>
  <si>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</si>
  <si>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</si>
  <si>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</si>
  <si>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</si>
  <si>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</si>
  <si>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</si>
  <si>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</si>
  <si>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</si>
  <si>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</si>
  <si>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</si>
  <si>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</si>
  <si>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</si>
  <si>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</si>
  <si>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</si>
  <si>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</si>
  <si>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</si>
  <si>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</si>
  <si>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</si>
  <si>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</si>
  <si>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</si>
  <si>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</si>
  <si>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</si>
  <si>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</si>
  <si>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</si>
  <si>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</si>
  <si>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</si>
  <si>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</si>
  <si>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</si>
  <si>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</si>
  <si>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</si>
  <si>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</si>
  <si>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</si>
  <si>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</si>
  <si>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</si>
  <si>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</si>
  <si>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</si>
  <si>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</si>
  <si>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</si>
  <si>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</si>
  <si>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</si>
  <si>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</si>
  <si>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</si>
  <si>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</si>
  <si>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</si>
  <si>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</si>
  <si>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</si>
  <si>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</si>
  <si>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</si>
  <si>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</si>
  <si>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</si>
  <si>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</si>
  <si>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</si>
  <si>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</si>
  <si>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</si>
  <si>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</si>
  <si>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</si>
  <si>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</si>
  <si>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</si>
  <si>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</si>
  <si>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</si>
  <si>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</si>
  <si>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</si>
  <si>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</si>
  <si>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</si>
  <si>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</si>
  <si>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</si>
  <si>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</si>
  <si>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</si>
  <si>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</si>
  <si>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</si>
  <si>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</si>
  <si>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</si>
  <si>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</si>
  <si>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</si>
  <si>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</si>
  <si>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</si>
  <si>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</si>
  <si>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</si>
  <si>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</si>
  <si>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</si>
  <si>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</si>
  <si>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</si>
  <si>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</si>
  <si>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</si>
  <si>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</si>
  <si>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</si>
  <si>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</si>
  <si>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</si>
  <si>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</si>
  <si>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</si>
  <si>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</si>
  <si>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</si>
  <si>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</si>
  <si>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</si>
  <si>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</si>
  <si>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</si>
  <si>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</si>
  <si>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</si>
  <si>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</si>
  <si>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</si>
  <si>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</si>
  <si>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</si>
  <si>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</si>
  <si>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</si>
  <si>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</si>
  <si>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</si>
  <si>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</si>
  <si>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</si>
  <si>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</si>
  <si>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</si>
  <si>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</si>
  <si>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</si>
  <si>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</si>
  <si>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</si>
  <si>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</si>
  <si>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</si>
  <si>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</si>
  <si>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</si>
  <si>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</si>
  <si>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</si>
  <si>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</si>
  <si>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</si>
  <si>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</si>
  <si>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</si>
  <si>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</si>
  <si>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</si>
  <si>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</si>
  <si>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</si>
  <si>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</si>
  <si>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</si>
  <si>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</si>
  <si>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</si>
  <si>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</si>
  <si>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</si>
  <si>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</si>
  <si>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</si>
  <si>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</si>
  <si>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</si>
  <si>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</si>
  <si>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</si>
  <si>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</si>
  <si>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</si>
  <si>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</si>
  <si>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</si>
  <si>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</si>
  <si>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</si>
  <si>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</si>
  <si>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</si>
  <si>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</si>
  <si>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</si>
  <si>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</si>
  <si>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</si>
  <si>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</si>
  <si>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</si>
  <si>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</si>
  <si>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</si>
  <si>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</si>
  <si>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</si>
  <si>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</si>
  <si>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</si>
  <si>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</si>
  <si>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</si>
  <si>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</si>
  <si>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</si>
  <si>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</si>
  <si>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</si>
  <si>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</si>
  <si>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</si>
  <si>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</si>
  <si>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</si>
  <si>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</si>
  <si>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</si>
  <si>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</si>
  <si>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</si>
  <si>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</si>
  <si>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</si>
  <si>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</si>
  <si>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</si>
  <si>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</si>
  <si>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</si>
  <si>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</si>
  <si>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</si>
  <si>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</si>
  <si>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</si>
  <si>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</si>
  <si>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</si>
  <si>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</si>
  <si>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</si>
  <si>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</si>
  <si>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</si>
  <si>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</si>
  <si>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</si>
  <si>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</si>
  <si>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</si>
  <si>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</si>
  <si>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</si>
  <si>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</si>
  <si>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</si>
  <si>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</si>
  <si>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</si>
  <si>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</si>
  <si>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</si>
  <si>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</si>
  <si>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</si>
  <si>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</si>
  <si>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</si>
  <si>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</si>
  <si>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</si>
  <si>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</si>
  <si>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</si>
  <si>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</si>
  <si>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</si>
  <si>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</si>
  <si>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</si>
  <si>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</si>
  <si>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</si>
  <si>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</si>
  <si>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</si>
  <si>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</si>
  <si>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</si>
  <si>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</si>
  <si>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</si>
  <si>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</si>
  <si>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</si>
  <si>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</si>
  <si>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</si>
  <si>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</si>
  <si>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</si>
  <si>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</si>
  <si>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</si>
  <si>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</si>
  <si>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</si>
  <si>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</si>
  <si>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</si>
  <si>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</si>
  <si>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</si>
  <si>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</si>
  <si>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</si>
  <si>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</si>
  <si>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</si>
  <si>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</si>
  <si>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</si>
  <si>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</si>
  <si>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</si>
  <si>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</si>
  <si>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</si>
  <si>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</si>
  <si>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</si>
  <si>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</si>
  <si>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</si>
  <si>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</si>
  <si>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</si>
  <si>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</si>
  <si>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</si>
  <si>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</si>
  <si>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</si>
  <si>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</si>
  <si>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</si>
  <si>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</si>
  <si>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</si>
  <si>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</si>
  <si>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</si>
  <si>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</si>
  <si>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</si>
  <si>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</si>
  <si>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</si>
  <si>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</si>
  <si>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</si>
  <si>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</si>
  <si>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</si>
  <si>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</si>
  <si>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</si>
  <si>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</si>
  <si>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</si>
  <si>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</si>
  <si>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</si>
  <si>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</si>
  <si>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</si>
  <si>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</si>
  <si>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</si>
  <si>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</si>
  <si>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</si>
  <si>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</si>
  <si>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</si>
  <si>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</si>
  <si>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</si>
  <si>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</si>
  <si>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</si>
  <si>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</si>
  <si>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</si>
  <si>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</si>
  <si>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</si>
  <si>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</si>
  <si>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</si>
  <si>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</si>
  <si>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</si>
  <si>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</si>
  <si>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</si>
  <si>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</si>
  <si>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</si>
  <si>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</si>
  <si>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</si>
  <si>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</si>
  <si>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</si>
  <si>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</si>
  <si>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</si>
  <si>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</si>
  <si>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</si>
  <si>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</si>
  <si>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</si>
  <si>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</si>
  <si>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</si>
  <si>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</si>
  <si>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</si>
  <si>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</si>
  <si>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</si>
  <si>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</si>
  <si>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</si>
  <si>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</si>
  <si>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</si>
  <si>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</si>
  <si>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</si>
  <si>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</si>
  <si>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</si>
  <si>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</si>
  <si>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</si>
  <si>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</si>
  <si>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</si>
  <si>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</si>
  <si>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</si>
  <si>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</si>
  <si>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</si>
  <si>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</si>
  <si>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</si>
  <si>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</si>
  <si>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</si>
  <si>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</si>
  <si>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</si>
  <si>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</si>
  <si>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</si>
  <si>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</si>
  <si>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</si>
  <si>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</si>
  <si>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</si>
  <si>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</si>
  <si>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</si>
  <si>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</si>
  <si>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</si>
  <si>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</si>
  <si>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</si>
  <si>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</si>
  <si>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</si>
  <si>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</si>
  <si>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</si>
  <si>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</si>
  <si>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</si>
  <si>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</si>
  <si>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</si>
  <si>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</si>
  <si>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</si>
  <si>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</si>
  <si>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</si>
  <si>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</si>
  <si>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</si>
  <si>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</si>
  <si>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</si>
  <si>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</si>
  <si>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</si>
  <si>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</si>
  <si>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</si>
  <si>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</si>
  <si>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</si>
  <si>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</si>
  <si>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</si>
  <si>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</si>
  <si>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</si>
  <si>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</si>
  <si>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</si>
  <si>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</si>
  <si>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</si>
  <si>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</si>
  <si>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</si>
  <si>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</si>
  <si>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</si>
  <si>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</si>
  <si>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</si>
  <si>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</si>
  <si>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</si>
  <si>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</si>
  <si>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</si>
  <si>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</si>
  <si>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</si>
  <si>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</si>
  <si>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</si>
  <si>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</si>
  <si>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</si>
  <si>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</si>
  <si>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</si>
  <si>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</si>
  <si>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</si>
  <si>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</si>
  <si>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</si>
  <si>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</si>
  <si>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</si>
  <si>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</si>
  <si>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</si>
  <si>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</si>
  <si>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</si>
  <si>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</si>
  <si>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</si>
  <si>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</si>
  <si>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</si>
  <si>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</si>
  <si>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</si>
  <si>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</si>
  <si>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</si>
  <si>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</si>
  <si>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</si>
  <si>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</si>
  <si>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</si>
  <si>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</si>
  <si>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</si>
  <si>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</si>
  <si>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</si>
  <si>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</si>
  <si>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</si>
  <si>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</si>
  <si>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</si>
  <si>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</si>
  <si>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</si>
  <si>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</si>
  <si>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</si>
  <si>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</si>
  <si>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</si>
  <si>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</si>
  <si>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</si>
  <si>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</si>
  <si>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</si>
  <si>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</si>
  <si>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</si>
  <si>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</si>
  <si>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</si>
  <si>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</si>
  <si>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</si>
  <si>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</si>
  <si>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</si>
  <si>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</si>
  <si>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</si>
  <si>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</si>
  <si>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</si>
  <si>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</si>
  <si>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</si>
  <si>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</si>
  <si>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</si>
  <si>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</si>
  <si>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</si>
  <si>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</si>
  <si>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</si>
  <si>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</si>
  <si>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</si>
  <si>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</si>
  <si>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</si>
  <si>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</si>
  <si>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</si>
  <si>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</si>
  <si>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</si>
  <si>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</si>
  <si>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</si>
  <si>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</si>
  <si>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</si>
  <si>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</si>
  <si>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</si>
  <si>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</si>
  <si>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</si>
  <si>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</si>
  <si>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</si>
  <si>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</si>
  <si>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</si>
  <si>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</si>
  <si>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</si>
  <si>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</si>
  <si>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</si>
  <si>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</si>
  <si>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</si>
  <si>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</si>
  <si>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</si>
  <si>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</si>
  <si>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</si>
  <si>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</si>
  <si>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</si>
  <si>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</si>
  <si>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</si>
  <si>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</si>
  <si>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</si>
  <si>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</si>
  <si>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</si>
  <si>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</si>
  <si>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</si>
  <si>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</si>
  <si>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</si>
  <si>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</si>
  <si>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</si>
  <si>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</si>
  <si>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</si>
  <si>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</si>
  <si>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</si>
  <si>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</si>
  <si>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</si>
  <si>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</si>
  <si>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</si>
  <si>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</si>
  <si>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</si>
  <si>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</si>
  <si>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</si>
  <si>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</si>
  <si>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</si>
  <si>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</si>
  <si>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</si>
  <si>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</si>
  <si>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</si>
  <si>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</si>
  <si>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</si>
  <si>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</si>
  <si>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</si>
  <si>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</si>
  <si>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</si>
  <si>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</si>
  <si>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</si>
  <si>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</si>
  <si>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</si>
  <si>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</si>
  <si>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</si>
  <si>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</si>
  <si>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</si>
  <si>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</si>
  <si>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</si>
  <si>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</si>
  <si>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</si>
  <si>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</si>
  <si>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</si>
  <si>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</si>
  <si>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</si>
  <si>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</si>
  <si>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</si>
  <si>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</si>
  <si>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</si>
  <si>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</si>
  <si>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</si>
  <si>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</si>
  <si>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</si>
  <si>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</si>
  <si>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</si>
  <si>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</si>
  <si>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</si>
  <si>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</si>
  <si>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</si>
  <si>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</si>
  <si>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</si>
  <si>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</si>
  <si>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</si>
  <si>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</si>
  <si>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</si>
  <si>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</si>
  <si>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</si>
  <si>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</si>
  <si>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</si>
  <si>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</si>
  <si>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</si>
  <si>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</si>
  <si>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</si>
  <si>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</si>
  <si>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</si>
  <si>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</si>
  <si>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</si>
  <si>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</si>
  <si>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</si>
  <si>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</si>
  <si>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</si>
  <si>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</si>
  <si>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</si>
  <si>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</si>
  <si>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</si>
  <si>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</si>
  <si>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</si>
  <si>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</si>
  <si>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</si>
  <si>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</si>
  <si>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</si>
  <si>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</si>
  <si>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</si>
  <si>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</si>
  <si>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</si>
  <si>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</si>
  <si>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</si>
  <si>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</si>
  <si>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</si>
  <si>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</si>
  <si>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</si>
  <si>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</si>
  <si>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</si>
  <si>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</si>
  <si>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</si>
  <si>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</si>
  <si>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</si>
  <si>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</si>
  <si>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</si>
  <si>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</si>
  <si>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</si>
  <si>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</si>
  <si>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</si>
  <si>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</si>
  <si>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</si>
  <si>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</si>
  <si>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</si>
  <si>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</si>
  <si>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</si>
  <si>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</si>
  <si>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</si>
  <si>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</si>
  <si>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</si>
  <si>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</si>
  <si>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</si>
  <si>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</si>
  <si>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</si>
  <si>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</si>
  <si>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</si>
  <si>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</si>
  <si>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</si>
  <si>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</si>
  <si>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</si>
  <si>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</si>
  <si>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</si>
  <si>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</si>
  <si>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</si>
  <si>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</si>
  <si>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</si>
  <si>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</si>
  <si>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</si>
  <si>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</si>
  <si>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</si>
  <si>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</si>
  <si>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</si>
  <si>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</si>
  <si>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</si>
  <si>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</si>
  <si>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</si>
  <si>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</si>
  <si>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</si>
  <si>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</si>
  <si>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</si>
  <si>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</si>
  <si>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</si>
  <si>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</si>
  <si>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</si>
  <si>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</si>
  <si>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</si>
  <si>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</si>
  <si>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</si>
  <si>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</si>
  <si>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</si>
  <si>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</si>
  <si>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</si>
  <si>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</si>
  <si>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</si>
  <si>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</si>
  <si>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</si>
  <si>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</si>
  <si>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</si>
  <si>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</si>
  <si>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</si>
  <si>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</si>
  <si>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</si>
  <si>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</si>
  <si>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</si>
  <si>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</si>
  <si>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</si>
  <si>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</si>
  <si>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</si>
  <si>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</si>
  <si>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</si>
  <si>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</si>
  <si>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</si>
  <si>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</si>
  <si>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</si>
  <si>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</si>
  <si>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</si>
  <si>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</si>
  <si>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</si>
  <si>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</si>
  <si>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</si>
  <si>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</si>
  <si>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</si>
  <si>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</si>
  <si>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</si>
  <si>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</si>
  <si>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</si>
  <si>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</si>
  <si>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</si>
  <si>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</si>
  <si>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</si>
  <si>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</si>
  <si>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</si>
  <si>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</si>
  <si>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</si>
  <si>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</si>
  <si>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</si>
  <si>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</si>
  <si>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</si>
  <si>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</si>
  <si>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</si>
  <si>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</si>
  <si>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</si>
  <si>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</si>
  <si>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</si>
  <si>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</si>
  <si>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</si>
  <si>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</si>
  <si>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</si>
  <si>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</si>
  <si>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</si>
  <si>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</si>
  <si>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</si>
  <si>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</si>
  <si>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</si>
  <si>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</si>
  <si>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</si>
  <si>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</si>
  <si>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</si>
  <si>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</si>
  <si>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</si>
  <si>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</si>
  <si>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</si>
  <si>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</si>
  <si>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</si>
  <si>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</si>
  <si>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</si>
  <si>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</si>
  <si>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</si>
  <si>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</si>
  <si>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</si>
  <si>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</si>
  <si>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</si>
  <si>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</si>
  <si>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</si>
  <si>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</si>
  <si>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</si>
  <si>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</si>
  <si>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</si>
  <si>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</si>
  <si>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</si>
  <si>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</si>
  <si>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</si>
  <si>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</si>
  <si>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</si>
  <si>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</si>
  <si>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</si>
  <si>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</si>
  <si>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</si>
  <si>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</si>
  <si>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</si>
  <si>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</si>
  <si>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</si>
  <si>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</si>
  <si>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</si>
  <si>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</si>
  <si>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</si>
  <si>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</si>
  <si>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</si>
  <si>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</si>
  <si>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</si>
  <si>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</si>
  <si>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</si>
  <si>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</si>
  <si>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</si>
  <si>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</si>
  <si>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</si>
  <si>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</si>
  <si>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</si>
  <si>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</si>
  <si>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</si>
  <si>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</si>
  <si>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</si>
  <si>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</si>
  <si>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</si>
  <si>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</si>
  <si>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</si>
  <si>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</si>
  <si>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</si>
  <si>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</si>
  <si>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</si>
  <si>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</si>
  <si>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</si>
  <si>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</si>
  <si>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</si>
  <si>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</si>
  <si>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</si>
  <si>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</si>
  <si>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</si>
  <si>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</si>
  <si>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</si>
  <si>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</si>
  <si>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</si>
  <si>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</si>
  <si>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</si>
  <si>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</si>
  <si>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</si>
  <si>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</si>
  <si>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</si>
  <si>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</si>
  <si>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</si>
  <si>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</si>
  <si>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</si>
  <si>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</si>
  <si>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</si>
  <si>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</si>
  <si>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</si>
  <si>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</si>
  <si>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</si>
  <si>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</si>
  <si>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</si>
  <si>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</si>
  <si>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</si>
  <si>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</si>
  <si>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</si>
  <si>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</si>
  <si>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</si>
  <si>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</si>
  <si>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</si>
  <si>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</si>
  <si>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</si>
  <si>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</si>
  <si>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</si>
  <si>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</si>
  <si>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</si>
  <si>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</si>
  <si>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</si>
  <si>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</si>
  <si>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</si>
  <si>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</si>
  <si>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</si>
  <si>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</si>
  <si>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</si>
  <si>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</si>
  <si>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</si>
  <si>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</si>
  <si>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</si>
  <si>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</si>
  <si>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</si>
  <si>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</si>
  <si>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</si>
  <si>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</si>
  <si>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</si>
  <si>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</si>
  <si>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</si>
  <si>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</si>
  <si>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</si>
  <si>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</si>
  <si>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</si>
  <si>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</si>
  <si>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</si>
  <si>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</si>
  <si>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</si>
  <si>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</si>
  <si>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</si>
  <si>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</si>
  <si>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</si>
  <si>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</si>
  <si>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</si>
  <si>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</si>
  <si>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</si>
  <si>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</si>
  <si>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</si>
  <si>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</si>
  <si>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</si>
  <si>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</si>
  <si>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</si>
  <si>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</si>
  <si>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</si>
  <si>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</si>
  <si>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</si>
  <si>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</si>
  <si>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</si>
  <si>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</si>
  <si>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</si>
  <si>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</si>
  <si>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</si>
  <si>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</si>
  <si>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</si>
  <si>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</si>
  <si>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</si>
  <si>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</si>
  <si>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</si>
  <si>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</si>
  <si>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</si>
  <si>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</si>
  <si>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</si>
  <si>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</si>
  <si>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</si>
  <si>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</si>
  <si>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</si>
  <si>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</si>
  <si>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</si>
  <si>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</si>
  <si>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</si>
  <si>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</si>
  <si>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</si>
  <si>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</si>
  <si>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</si>
  <si>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</si>
  <si>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</si>
  <si>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</si>
  <si>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</si>
  <si>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</si>
  <si>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</si>
  <si>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</si>
  <si>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</si>
  <si>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</si>
  <si>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</si>
  <si>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</si>
  <si>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</si>
  <si>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</si>
  <si>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</si>
  <si>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</si>
  <si>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</si>
  <si>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</si>
  <si>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</si>
  <si>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</si>
  <si>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</si>
  <si>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</si>
  <si>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</si>
  <si>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</si>
  <si>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</si>
  <si>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</si>
  <si>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</si>
  <si>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</si>
  <si>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</si>
  <si>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</si>
  <si>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</si>
  <si>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</si>
  <si>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</si>
  <si>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</si>
  <si>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</si>
  <si>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</si>
  <si>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</si>
  <si>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</si>
  <si>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</si>
  <si>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</si>
  <si>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</si>
  <si>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</si>
  <si>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</si>
  <si>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</si>
  <si>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</si>
  <si>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</si>
  <si>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</si>
  <si>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</si>
  <si>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</si>
  <si>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</si>
  <si>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</si>
  <si>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</si>
  <si>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</si>
  <si>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</si>
  <si>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</si>
  <si>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</si>
  <si>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</si>
  <si>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</si>
  <si>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</si>
  <si>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</si>
  <si>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</si>
  <si>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</si>
  <si>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</si>
  <si>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</si>
  <si>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</si>
  <si>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</si>
  <si>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</si>
  <si>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</si>
  <si>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</si>
  <si>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</si>
  <si>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</si>
  <si>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</si>
  <si>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</si>
  <si>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</si>
  <si>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</si>
  <si>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</si>
  <si>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</si>
  <si>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</si>
  <si>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</si>
  <si>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</si>
  <si>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</si>
  <si>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</si>
  <si>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</si>
  <si>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</si>
  <si>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</si>
  <si>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</si>
  <si>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</si>
  <si>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</si>
  <si>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</si>
  <si>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</si>
  <si>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</si>
  <si>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</si>
  <si>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</si>
  <si>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</si>
  <si>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</si>
  <si>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</si>
  <si>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</si>
  <si>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</si>
  <si>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</si>
  <si>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</si>
  <si>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</si>
  <si>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</si>
  <si>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</si>
  <si>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</si>
  <si>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</si>
  <si>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</si>
  <si>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</si>
  <si>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</si>
  <si>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</si>
  <si>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</si>
  <si>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</si>
  <si>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</si>
  <si>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</si>
  <si>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</si>
  <si>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</si>
  <si>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</si>
  <si>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</si>
  <si>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</si>
  <si>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</si>
  <si>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</si>
  <si>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</si>
  <si>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</si>
  <si>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</si>
  <si>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</si>
  <si>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</si>
  <si>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</si>
  <si>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</si>
  <si>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</si>
  <si>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</si>
  <si>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</si>
  <si>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</si>
  <si>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</si>
  <si>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</si>
  <si>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</si>
  <si>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</si>
  <si>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</si>
  <si>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</si>
  <si>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</si>
  <si>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</si>
  <si>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</si>
  <si>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</si>
  <si>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</si>
  <si>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</si>
  <si>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</si>
  <si>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</si>
  <si>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</si>
  <si>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</si>
  <si>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</si>
  <si>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</si>
  <si>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</si>
  <si>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</si>
  <si>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</si>
  <si>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</si>
  <si>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</si>
  <si>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</si>
  <si>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</si>
  <si>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</si>
  <si>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</si>
  <si>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</si>
  <si>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</si>
  <si>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</si>
  <si>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</si>
  <si>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</si>
  <si>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</si>
  <si>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</si>
  <si>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</si>
  <si>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</si>
  <si>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</si>
  <si>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</si>
  <si>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</si>
  <si>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</si>
  <si>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</si>
  <si>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</si>
  <si>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</si>
  <si>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</si>
  <si>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</si>
  <si>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</si>
  <si>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</si>
  <si>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</si>
  <si>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</si>
  <si>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</si>
  <si>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</si>
  <si>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</si>
  <si>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</si>
  <si>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</si>
  <si>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</si>
  <si>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</si>
  <si>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</si>
  <si>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</si>
  <si>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</si>
  <si>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</si>
  <si>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</si>
  <si>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</si>
  <si>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</si>
  <si>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</si>
  <si>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</si>
  <si>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</si>
  <si>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</si>
  <si>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</si>
  <si>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</si>
  <si>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</si>
  <si>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</si>
  <si>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</si>
  <si>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</si>
  <si>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</si>
  <si>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</si>
  <si>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</si>
  <si>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</si>
  <si>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</si>
  <si>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</si>
  <si>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</si>
  <si>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</si>
  <si>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</si>
  <si>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</si>
  <si>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</si>
  <si>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</si>
  <si>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</si>
  <si>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</si>
  <si>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</si>
  <si>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</si>
  <si>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</si>
  <si>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</si>
  <si>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</si>
  <si>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</si>
  <si>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</si>
  <si>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</si>
  <si>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</si>
  <si>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</si>
  <si>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</si>
  <si>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</si>
  <si>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</si>
  <si>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</si>
  <si>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</si>
  <si>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</si>
  <si>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</si>
  <si>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</si>
  <si>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</si>
  <si>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</si>
  <si>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</si>
  <si>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</si>
  <si>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</si>
  <si>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</si>
  <si>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</si>
  <si>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</si>
  <si>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</si>
  <si>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</si>
  <si>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</si>
  <si>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</si>
  <si>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</si>
  <si>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</si>
  <si>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</si>
  <si>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</si>
  <si>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</si>
  <si>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</si>
  <si>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</si>
  <si>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</si>
  <si>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</si>
  <si>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</si>
  <si>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</si>
  <si>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</si>
  <si>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</si>
  <si>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</si>
  <si>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</si>
  <si>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</si>
  <si>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</si>
  <si>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</si>
  <si>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</si>
  <si>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</si>
  <si>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</si>
  <si>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</si>
  <si>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</si>
  <si>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</si>
  <si>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</si>
  <si>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</si>
  <si>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</si>
  <si>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</si>
  <si>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</si>
  <si>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</si>
  <si>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</si>
  <si>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</si>
  <si>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</si>
  <si>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</si>
  <si>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</si>
  <si>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</si>
  <si>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</si>
  <si>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</si>
  <si>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</si>
  <si>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</si>
  <si>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</si>
  <si>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</si>
  <si>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</si>
  <si>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</si>
  <si>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</si>
  <si>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</si>
  <si>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</si>
  <si>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</si>
  <si>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</si>
  <si>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</si>
  <si>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</si>
  <si>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</si>
  <si>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</si>
  <si>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</si>
  <si>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</si>
  <si>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</si>
  <si>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</si>
  <si>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</si>
  <si>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</si>
  <si>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</si>
  <si>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</si>
  <si>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</si>
  <si>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</si>
  <si>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</si>
  <si>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</si>
  <si>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</si>
  <si>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</si>
  <si>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</si>
  <si>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</si>
  <si>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</si>
  <si>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</si>
  <si>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</si>
  <si>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</si>
  <si>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</si>
  <si>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</si>
  <si>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</si>
  <si>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</si>
  <si>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</si>
  <si>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</si>
  <si>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</si>
  <si>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</si>
  <si>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</si>
  <si>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</si>
  <si>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</si>
  <si>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</si>
  <si>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</si>
  <si>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</si>
  <si>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</si>
  <si>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</si>
  <si>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</si>
  <si>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</si>
  <si>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</si>
  <si>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</si>
  <si>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</si>
  <si>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</si>
  <si>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</si>
  <si>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</si>
  <si>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</si>
  <si>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</si>
  <si>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</si>
  <si>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</si>
  <si>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</si>
  <si>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</si>
  <si>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</si>
  <si>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</si>
  <si>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</si>
  <si>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</si>
  <si>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</si>
  <si>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</si>
  <si>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</si>
  <si>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</si>
  <si>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</si>
  <si>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</si>
  <si>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</si>
  <si>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</si>
  <si>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</si>
  <si>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</si>
  <si>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</si>
  <si>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</si>
  <si>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</si>
  <si>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</si>
  <si>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</si>
  <si>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</si>
  <si>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</si>
  <si>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</si>
  <si>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</si>
  <si>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</si>
  <si>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</si>
  <si>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</si>
  <si>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</si>
  <si>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</si>
  <si>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</si>
  <si>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</si>
  <si>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</si>
  <si>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</si>
  <si>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</si>
  <si>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</si>
  <si>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</si>
  <si>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</si>
  <si>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</si>
  <si>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</si>
  <si>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</si>
  <si>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</si>
  <si>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</si>
  <si>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</si>
  <si>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</si>
  <si>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</si>
  <si>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</si>
  <si>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</si>
  <si>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</si>
  <si>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</si>
  <si>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</si>
  <si>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</si>
  <si>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</si>
  <si>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</si>
  <si>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</si>
  <si>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</si>
  <si>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</si>
  <si>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</si>
  <si>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</si>
  <si>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</si>
  <si>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</si>
  <si>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</si>
  <si>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</si>
  <si>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</si>
  <si>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</si>
  <si>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</si>
  <si>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</si>
  <si>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</si>
  <si>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</si>
  <si>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</si>
  <si>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</si>
  <si>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</si>
  <si>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</si>
  <si>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</si>
  <si>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</si>
  <si>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</si>
  <si>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</si>
  <si>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</si>
  <si>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</si>
  <si>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</si>
  <si>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</si>
  <si>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</si>
  <si>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</si>
  <si>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</si>
  <si>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</si>
  <si>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</si>
  <si>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</si>
  <si>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</si>
  <si>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</si>
  <si>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</si>
  <si>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</si>
  <si>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</si>
  <si>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</si>
  <si>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</si>
  <si>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</si>
  <si>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</si>
  <si>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</si>
  <si>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</si>
  <si>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</si>
  <si>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</si>
  <si>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</si>
  <si>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</si>
  <si>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</si>
  <si>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</si>
  <si>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</si>
  <si>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</si>
  <si>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</si>
  <si>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</si>
  <si>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</si>
  <si>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</si>
  <si>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</si>
  <si>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</si>
  <si>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</si>
  <si>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</si>
  <si>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</si>
  <si>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</si>
  <si>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</si>
  <si>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</si>
  <si>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</si>
  <si>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</si>
  <si>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</si>
  <si>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</si>
  <si>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</si>
  <si>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</si>
  <si>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</si>
  <si>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</si>
  <si>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</si>
  <si>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</si>
  <si>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</si>
  <si>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</si>
  <si>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</si>
  <si>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</si>
  <si>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</si>
  <si>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</si>
  <si>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</si>
  <si>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</si>
  <si>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</si>
  <si>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</si>
  <si>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</si>
  <si>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</si>
  <si>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</si>
  <si>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</si>
  <si>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</si>
  <si>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</si>
  <si>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</si>
  <si>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</si>
  <si>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</si>
  <si>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</si>
  <si>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</si>
  <si>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</si>
  <si>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</si>
  <si>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</si>
  <si>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</si>
  <si>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</si>
  <si>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</si>
  <si>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</si>
  <si>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</si>
  <si>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</si>
  <si>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</si>
  <si>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</si>
  <si>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</si>
  <si>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</si>
  <si>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</si>
  <si>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</si>
  <si>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</si>
  <si>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</si>
  <si>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</si>
  <si>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</si>
  <si>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</si>
  <si>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</si>
  <si>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</si>
  <si>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</si>
  <si>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</si>
  <si>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</si>
  <si>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</si>
  <si>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</si>
  <si>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</si>
  <si>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</si>
  <si>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</si>
  <si>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</si>
  <si>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</si>
  <si>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</si>
  <si>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</si>
  <si>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</si>
  <si>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</si>
  <si>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</si>
  <si>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</si>
  <si>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</si>
  <si>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</si>
  <si>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</si>
  <si>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</si>
  <si>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</si>
  <si>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</si>
  <si>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</si>
  <si>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</si>
  <si>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</si>
  <si>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</si>
  <si>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</si>
  <si>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</si>
  <si>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</si>
  <si>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</si>
  <si>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</si>
  <si>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</si>
  <si>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</si>
  <si>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</si>
  <si>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</si>
  <si>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</si>
  <si>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</si>
  <si>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</si>
  <si>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</si>
  <si>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</si>
  <si>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</si>
  <si>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</si>
  <si>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</si>
  <si>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</si>
  <si>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</si>
  <si>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</si>
  <si>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</si>
  <si>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</si>
  <si>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</si>
  <si>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</si>
  <si>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</si>
  <si>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</si>
  <si>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</si>
  <si>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</si>
  <si>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</si>
  <si>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</si>
  <si>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</si>
  <si>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</si>
  <si>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</si>
  <si>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</si>
  <si>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</si>
  <si>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</si>
  <si>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</si>
  <si>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</si>
  <si>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</si>
  <si>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</si>
  <si>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</si>
  <si>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</si>
  <si>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</si>
  <si>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</si>
  <si>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</si>
  <si>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</si>
  <si>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</si>
  <si>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</si>
  <si>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</si>
  <si>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</si>
  <si>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</si>
  <si>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</si>
  <si>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</si>
  <si>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</si>
  <si>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</si>
  <si>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</si>
  <si>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</si>
  <si>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</si>
  <si>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</si>
  <si>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</si>
  <si>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</si>
  <si>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</si>
  <si>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</si>
  <si>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</si>
  <si>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</si>
  <si>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</si>
  <si>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</si>
  <si>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</si>
  <si>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</si>
  <si>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</si>
  <si>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</si>
  <si>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</si>
  <si>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</si>
  <si>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</si>
  <si>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</si>
  <si>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</si>
  <si>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</si>
  <si>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</si>
  <si>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</si>
  <si>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</si>
  <si>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</si>
  <si>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</si>
  <si>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</si>
  <si>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</si>
  <si>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</si>
  <si>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</si>
  <si>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</si>
  <si>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</si>
  <si>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</si>
  <si>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</si>
  <si>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</si>
  <si>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</si>
  <si>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</si>
  <si>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</si>
  <si>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</si>
  <si>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</si>
  <si>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</si>
  <si>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</si>
  <si>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</si>
  <si>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</si>
  <si>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</si>
  <si>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</si>
  <si>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</si>
  <si>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</si>
  <si>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</si>
  <si>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</si>
  <si>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</si>
  <si>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</si>
  <si>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</si>
  <si>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</si>
  <si>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</si>
  <si>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</si>
  <si>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</si>
  <si>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</si>
  <si>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</si>
  <si>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</si>
  <si>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</si>
  <si>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</si>
  <si>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</si>
  <si>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</si>
  <si>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</si>
  <si>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</si>
  <si>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</si>
  <si>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</si>
  <si>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</si>
  <si>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</si>
  <si>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</si>
  <si>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</si>
  <si>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</si>
  <si>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</si>
  <si>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</si>
  <si>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</si>
  <si>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</si>
  <si>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</si>
  <si>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</si>
  <si>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</si>
  <si>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</si>
  <si>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</si>
  <si>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</si>
  <si>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</si>
  <si>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</si>
  <si>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</si>
  <si>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</si>
  <si>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</si>
  <si>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</si>
  <si>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</si>
  <si>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</si>
  <si>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</si>
  <si>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</si>
  <si>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</si>
  <si>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</si>
  <si>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</si>
  <si>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</si>
  <si>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</si>
  <si>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</si>
  <si>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</si>
  <si>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</si>
  <si>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</si>
  <si>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</si>
  <si>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</si>
  <si>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</si>
  <si>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</si>
  <si>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</si>
  <si>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</si>
  <si>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</si>
  <si>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</si>
  <si>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</si>
  <si>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</si>
  <si>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</si>
  <si>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</si>
  <si>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</si>
  <si>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</si>
  <si>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</si>
  <si>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</si>
  <si>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</si>
  <si>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</si>
  <si>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</si>
  <si>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</si>
  <si>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</si>
  <si>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</si>
  <si>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</si>
  <si>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</si>
  <si>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</si>
  <si>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</si>
  <si>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</si>
  <si>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</si>
  <si>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</si>
  <si>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</si>
  <si>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</si>
  <si>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</si>
  <si>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</si>
  <si>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</si>
  <si>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</si>
  <si>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</si>
  <si>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</si>
  <si>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</si>
  <si>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</si>
  <si>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</si>
  <si>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</si>
  <si>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</si>
  <si>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</si>
  <si>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</si>
  <si>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</si>
  <si>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</si>
  <si>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</si>
  <si>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</si>
  <si>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</si>
  <si>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</si>
  <si>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</si>
  <si>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</si>
  <si>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</si>
  <si>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</si>
  <si>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</si>
  <si>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</si>
  <si>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</si>
  <si>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</si>
  <si>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</si>
  <si>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</si>
  <si>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</si>
  <si>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</si>
  <si>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</si>
  <si>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</si>
  <si>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</si>
  <si>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</si>
  <si>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</si>
  <si>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</si>
  <si>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</si>
  <si>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</si>
  <si>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</si>
  <si>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</si>
  <si>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</si>
  <si>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</si>
  <si>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</si>
  <si>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</si>
  <si>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</si>
  <si>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</si>
  <si>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</si>
  <si>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</si>
  <si>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</si>
  <si>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</si>
  <si>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</si>
  <si>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</si>
  <si>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</si>
  <si>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</si>
  <si>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</si>
  <si>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</si>
  <si>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</si>
  <si>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</si>
  <si>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</si>
  <si>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</si>
  <si>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</si>
  <si>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</si>
  <si>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</si>
  <si>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</si>
  <si>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</si>
  <si>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</si>
  <si>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</si>
  <si>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</si>
  <si>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</si>
  <si>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</si>
  <si>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</si>
  <si>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</si>
  <si>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</si>
  <si>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</si>
  <si>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</si>
  <si>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</si>
  <si>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</si>
  <si>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</si>
  <si>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</si>
  <si>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</si>
  <si>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</si>
  <si>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</si>
  <si>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</si>
  <si>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</si>
  <si>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</si>
  <si>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</si>
  <si>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</si>
  <si>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</si>
  <si>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</si>
  <si>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</si>
  <si>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</si>
  <si>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</si>
  <si>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</si>
  <si>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</si>
  <si>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</si>
  <si>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</si>
  <si>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</si>
  <si>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</si>
  <si>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</si>
  <si>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</si>
  <si>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</si>
  <si>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</si>
  <si>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</si>
  <si>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</si>
  <si>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</si>
  <si>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</si>
  <si>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</si>
  <si>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</si>
  <si>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</si>
  <si>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</si>
  <si>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</si>
  <si>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</si>
  <si>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</si>
  <si>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</si>
  <si>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</si>
  <si>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</si>
  <si>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</si>
  <si>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</si>
  <si>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</si>
  <si>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</si>
  <si>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</si>
  <si>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</si>
  <si>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</si>
  <si>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</si>
  <si>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</si>
  <si>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</si>
  <si>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</si>
  <si>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</si>
  <si>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</si>
  <si>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</si>
  <si>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</si>
  <si>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</si>
  <si>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</si>
  <si>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</si>
  <si>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</si>
  <si>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</si>
  <si>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</si>
  <si>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</si>
  <si>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</si>
  <si>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</si>
  <si>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</si>
  <si>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</si>
  <si>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</si>
  <si>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</si>
  <si>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</si>
  <si>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</si>
  <si>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</si>
  <si>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</si>
  <si>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</si>
  <si>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</si>
  <si>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</si>
  <si>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</si>
  <si>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</si>
  <si>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</si>
  <si>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</si>
  <si>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</si>
  <si>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</si>
  <si>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</si>
  <si>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</si>
  <si>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</si>
  <si>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</si>
  <si>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</si>
  <si>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</si>
  <si>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</si>
  <si>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</si>
  <si>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</si>
  <si>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</si>
  <si>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</si>
  <si>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</si>
  <si>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</si>
  <si>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</si>
  <si>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</si>
  <si>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</si>
  <si>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</si>
  <si>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</si>
  <si>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</si>
  <si>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</si>
  <si>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</si>
  <si>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</si>
  <si>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</si>
  <si>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</si>
  <si>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</si>
  <si>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</si>
  <si>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</si>
  <si>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</si>
  <si>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</si>
  <si>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</si>
  <si>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</si>
  <si>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</si>
  <si>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</si>
  <si>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</si>
  <si>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</si>
  <si>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</si>
  <si>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</si>
  <si>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</si>
  <si>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</si>
  <si>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</si>
  <si>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</si>
  <si>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</si>
  <si>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</si>
  <si>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</si>
  <si>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</si>
  <si>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</si>
  <si>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</si>
  <si>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</si>
  <si>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</si>
  <si>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</si>
  <si>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</si>
  <si>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</si>
  <si>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</si>
  <si>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</si>
  <si>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</si>
  <si>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</si>
  <si>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</si>
  <si>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</si>
  <si>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</si>
  <si>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</si>
  <si>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</si>
  <si>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</si>
  <si>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</si>
  <si>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</si>
  <si>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</si>
  <si>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</si>
  <si>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</si>
  <si>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</si>
  <si>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</si>
  <si>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</si>
  <si>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</si>
  <si>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</si>
  <si>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</si>
  <si>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</si>
  <si>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</si>
  <si>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</si>
  <si>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</si>
  <si>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</si>
  <si>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</si>
  <si>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</si>
  <si>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</si>
  <si>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</si>
  <si>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</si>
  <si>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</si>
  <si>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</si>
  <si>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</si>
  <si>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</si>
  <si>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</si>
  <si>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</si>
  <si>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</si>
  <si>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</si>
  <si>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</si>
  <si>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</si>
  <si>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</si>
  <si>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</si>
  <si>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</si>
  <si>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</si>
  <si>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</si>
  <si>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</si>
  <si>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</si>
  <si>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</si>
  <si>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</si>
  <si>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</si>
  <si>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</si>
  <si>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</si>
  <si>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</si>
  <si>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</si>
  <si>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</si>
  <si>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</si>
  <si>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</si>
  <si>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</si>
  <si>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</si>
  <si>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</si>
  <si>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</si>
  <si>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</si>
  <si>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</si>
  <si>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</si>
  <si>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</si>
  <si>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</si>
  <si>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</si>
  <si>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</si>
  <si>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</si>
  <si>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</si>
  <si>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</si>
  <si>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</si>
  <si>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</si>
  <si>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</si>
  <si>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</si>
  <si>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</si>
  <si>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</si>
  <si>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</si>
  <si>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</si>
  <si>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</si>
  <si>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</si>
  <si>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</si>
  <si>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</si>
  <si>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</si>
  <si>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</si>
  <si>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</si>
  <si>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</si>
  <si>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</si>
  <si>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</si>
  <si>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</si>
  <si>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</si>
  <si>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</si>
  <si>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</si>
  <si>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</si>
  <si>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</si>
  <si>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</si>
  <si>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</si>
  <si>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</si>
  <si>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</si>
  <si>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</si>
  <si>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</si>
  <si>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</si>
  <si>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</si>
  <si>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</si>
  <si>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</si>
  <si>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</si>
  <si>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</si>
  <si>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</si>
  <si>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</si>
  <si>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</si>
  <si>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</si>
  <si>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</si>
  <si>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</si>
  <si>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</si>
  <si>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</si>
  <si>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</si>
  <si>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</si>
  <si>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</si>
  <si>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</si>
  <si>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</si>
  <si>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</si>
  <si>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</si>
  <si>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</si>
  <si>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</si>
  <si>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</si>
  <si>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</si>
  <si>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</si>
  <si>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</si>
  <si>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</si>
  <si>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</si>
  <si>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</si>
  <si>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</si>
  <si>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</si>
  <si>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</si>
  <si>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</si>
  <si>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</si>
  <si>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</si>
  <si>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</si>
  <si>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</si>
  <si>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</si>
  <si>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</si>
  <si>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</si>
  <si>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</si>
  <si>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</si>
  <si>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</si>
  <si>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</si>
  <si>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</si>
  <si>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</si>
  <si>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</si>
  <si>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</si>
  <si>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</si>
  <si>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</si>
  <si>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</si>
  <si>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</si>
  <si>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</si>
  <si>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</si>
  <si>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</si>
  <si>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</si>
  <si>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</si>
  <si>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</si>
  <si>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</si>
  <si>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</si>
  <si>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</si>
  <si>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</si>
  <si>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</si>
  <si>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</si>
  <si>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</si>
  <si>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</si>
  <si>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</si>
  <si>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</si>
  <si>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</si>
  <si>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</si>
  <si>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</si>
  <si>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</si>
  <si>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</si>
  <si>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</si>
  <si>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</si>
  <si>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</si>
  <si>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</si>
  <si>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</si>
  <si>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</si>
  <si>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</si>
  <si>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</si>
  <si>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</si>
  <si>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</si>
  <si>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</si>
  <si>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</si>
  <si>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</si>
  <si>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</si>
  <si>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</si>
  <si>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</si>
  <si>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</si>
  <si>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</si>
  <si>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</si>
  <si>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</si>
  <si>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</si>
  <si>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</si>
  <si>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</si>
  <si>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</si>
  <si>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</si>
  <si>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</si>
  <si>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</si>
  <si>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</si>
  <si>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</si>
  <si>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</si>
  <si>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</si>
  <si>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</si>
  <si>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</si>
  <si>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</si>
  <si>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</si>
  <si>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</si>
  <si>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</si>
  <si>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</si>
  <si>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</si>
  <si>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</si>
  <si>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</si>
  <si>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</si>
  <si>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</si>
  <si>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</si>
  <si>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</si>
  <si>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</si>
  <si>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</si>
  <si>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</si>
  <si>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</si>
  <si>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</si>
  <si>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</si>
  <si>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</si>
  <si>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</si>
  <si>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</si>
  <si>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</si>
  <si>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</si>
  <si>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</si>
  <si>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</si>
  <si>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</si>
  <si>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</si>
  <si>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</si>
  <si>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</si>
  <si>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</si>
  <si>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</si>
  <si>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</si>
  <si>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</si>
  <si>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</si>
  <si>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</si>
  <si>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</si>
  <si>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</si>
  <si>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</si>
  <si>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</si>
  <si>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</si>
  <si>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</si>
  <si>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</si>
  <si>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</si>
  <si>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</si>
  <si>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</si>
  <si>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</si>
  <si>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</si>
  <si>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</si>
  <si>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</si>
  <si>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</si>
  <si>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</si>
  <si>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</si>
  <si>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</si>
  <si>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</si>
  <si>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</si>
  <si>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</si>
  <si>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</si>
  <si>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</si>
  <si>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</si>
  <si>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</si>
  <si>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</si>
  <si>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</si>
  <si>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</si>
  <si>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</si>
  <si>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</si>
  <si>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</si>
  <si>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</si>
  <si>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</si>
  <si>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</si>
  <si>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</si>
  <si>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</si>
  <si>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</si>
  <si>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</si>
  <si>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</si>
  <si>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</si>
  <si>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</si>
  <si>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</si>
  <si>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</si>
  <si>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</si>
  <si>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</si>
  <si>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</si>
  <si>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</si>
  <si>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</si>
  <si>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</si>
  <si>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</si>
  <si>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</si>
  <si>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</si>
  <si>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</si>
  <si>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</si>
  <si>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</si>
  <si>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</si>
  <si>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</si>
  <si>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</si>
  <si>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</si>
  <si>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</si>
  <si>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</si>
  <si>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</si>
  <si>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</si>
  <si>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</si>
  <si>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</si>
  <si>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</si>
  <si>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</si>
  <si>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</si>
  <si>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</si>
  <si>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</si>
  <si>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</si>
  <si>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</si>
  <si>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</si>
  <si>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</si>
  <si>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</si>
  <si>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</si>
  <si>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</si>
  <si>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</si>
  <si>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</si>
  <si>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</si>
  <si>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</si>
  <si>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</si>
  <si>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</si>
  <si>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</si>
  <si>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</si>
  <si>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</si>
  <si>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</si>
  <si>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</si>
  <si>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</si>
  <si>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</si>
  <si>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</si>
  <si>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</si>
  <si>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</si>
  <si>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</si>
  <si>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</si>
  <si>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</si>
  <si>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</si>
  <si>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</si>
  <si>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</si>
  <si>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</si>
  <si>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</si>
  <si>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</si>
  <si>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</si>
  <si>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</si>
  <si>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</si>
  <si>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</si>
  <si>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</si>
  <si>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</si>
  <si>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</si>
  <si>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</si>
  <si>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</si>
  <si>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</si>
  <si>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</si>
  <si>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</si>
  <si>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</si>
  <si>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</si>
  <si>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</si>
  <si>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</si>
  <si>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</si>
  <si>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</si>
  <si>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</si>
  <si>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</si>
  <si>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</si>
  <si>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</si>
  <si>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</si>
  <si>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</si>
  <si>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</si>
  <si>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</si>
  <si>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</si>
  <si>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</si>
  <si>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</si>
  <si>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</si>
  <si>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</si>
  <si>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</si>
  <si>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</si>
  <si>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</si>
  <si>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</si>
  <si>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</si>
  <si>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</si>
  <si>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</si>
  <si>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</si>
  <si>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</si>
  <si>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</si>
  <si>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</si>
  <si>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</si>
  <si>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</si>
  <si>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</si>
  <si>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</si>
  <si>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</si>
  <si>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</si>
  <si>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</si>
  <si>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</si>
  <si>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</si>
  <si>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</si>
  <si>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</si>
  <si>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</si>
  <si>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</si>
  <si>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</si>
  <si>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</si>
  <si>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</si>
  <si>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</si>
  <si>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</si>
  <si>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</si>
  <si>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</si>
  <si>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</si>
  <si>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</si>
  <si>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</si>
  <si>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</si>
  <si>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</si>
  <si>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</si>
  <si>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</si>
  <si>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</si>
  <si>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</si>
  <si>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</si>
  <si>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</si>
  <si>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</si>
  <si>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</si>
  <si>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</si>
  <si>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</si>
  <si>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</si>
  <si>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</si>
  <si>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</si>
  <si>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</si>
  <si>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</si>
  <si>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</si>
  <si>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</si>
  <si>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</si>
  <si>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</si>
  <si>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</si>
  <si>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</si>
  <si>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</si>
  <si>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</si>
  <si>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</si>
  <si>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</si>
  <si>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</si>
  <si>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</si>
  <si>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</si>
  <si>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</si>
  <si>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</si>
  <si>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</si>
  <si>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</si>
  <si>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</si>
  <si>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</si>
  <si>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</si>
  <si>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</si>
  <si>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</si>
  <si>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</si>
  <si>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</si>
  <si>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</si>
  <si>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</si>
  <si>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</si>
  <si>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</si>
  <si>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</si>
  <si>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</si>
  <si>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</si>
  <si>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</si>
  <si>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</si>
  <si>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</si>
  <si>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</si>
  <si>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</si>
  <si>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</si>
  <si>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</si>
  <si>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</si>
  <si>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</si>
  <si>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</si>
  <si>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</si>
  <si>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</si>
  <si>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</si>
  <si>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</si>
  <si>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</si>
  <si>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</si>
  <si>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</si>
  <si>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</si>
  <si>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</si>
  <si>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</si>
  <si>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</si>
  <si>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</si>
  <si>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</si>
  <si>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</si>
  <si>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</si>
  <si>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</si>
  <si>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</si>
  <si>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</si>
  <si>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</si>
  <si>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</si>
  <si>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</si>
  <si>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</si>
  <si>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</si>
  <si>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</si>
  <si>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</si>
  <si>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</si>
  <si>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</si>
  <si>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</si>
  <si>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</si>
  <si>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</si>
  <si>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</si>
  <si>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</si>
  <si>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</si>
  <si>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</si>
  <si>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</si>
  <si>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</si>
  <si>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</si>
  <si>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</si>
  <si>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</si>
  <si>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</si>
  <si>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</si>
  <si>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</si>
  <si>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</si>
  <si>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</si>
  <si>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</si>
  <si>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</si>
  <si>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</si>
  <si>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</si>
  <si>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</si>
  <si>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</si>
  <si>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</si>
  <si>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</si>
  <si>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</si>
  <si>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</si>
  <si>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</si>
  <si>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</si>
  <si>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</si>
  <si>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</si>
  <si>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</si>
  <si>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</si>
  <si>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</si>
  <si>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</si>
  <si>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</si>
  <si>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</si>
  <si>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</si>
  <si>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</si>
  <si>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</si>
  <si>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</si>
  <si>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</si>
  <si>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</si>
  <si>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</si>
  <si>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</si>
  <si>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</si>
  <si>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</si>
  <si>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</si>
  <si>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</si>
  <si>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</si>
  <si>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</si>
  <si>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</si>
  <si>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</si>
  <si>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</si>
  <si>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</si>
  <si>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</si>
  <si>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</si>
  <si>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</si>
  <si>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</si>
  <si>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</si>
  <si>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</si>
  <si>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</si>
  <si>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</si>
  <si>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</si>
  <si>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</si>
  <si>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</si>
  <si>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</si>
  <si>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</si>
  <si>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</si>
  <si>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</si>
  <si>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</si>
  <si>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</si>
  <si>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</si>
  <si>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</si>
  <si>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</si>
  <si>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</si>
  <si>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</si>
  <si>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</si>
  <si>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</si>
  <si>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</si>
  <si>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</si>
  <si>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</si>
  <si>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</si>
  <si>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</si>
  <si>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</si>
  <si>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</si>
  <si>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</si>
  <si>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</si>
  <si>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</si>
  <si>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</si>
  <si>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</si>
  <si>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</si>
  <si>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</si>
  <si>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</si>
  <si>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</si>
  <si>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</si>
  <si>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</si>
  <si>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</si>
  <si>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</si>
  <si>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</si>
  <si>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</si>
  <si>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</si>
  <si>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</si>
  <si>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</si>
  <si>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</si>
  <si>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</si>
  <si>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</si>
  <si>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</si>
  <si>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</si>
  <si>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</si>
  <si>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</si>
  <si>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</si>
  <si>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</si>
  <si>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</si>
  <si>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</si>
  <si>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</si>
  <si>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</si>
  <si>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</si>
  <si>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</si>
  <si>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</si>
  <si>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</si>
  <si>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</si>
  <si>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</si>
  <si>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</si>
  <si>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</si>
  <si>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</si>
  <si>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</si>
  <si>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</si>
  <si>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</si>
  <si>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</si>
  <si>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</si>
  <si>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</si>
  <si>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</si>
  <si>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</si>
  <si>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</si>
  <si>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</si>
  <si>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</si>
  <si>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</si>
  <si>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</si>
  <si>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</si>
  <si>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</si>
  <si>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</si>
  <si>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</si>
  <si>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</si>
  <si>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</si>
  <si>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</si>
  <si>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</si>
  <si>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</si>
  <si>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</si>
  <si>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</si>
  <si>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</si>
  <si>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</si>
  <si>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</si>
  <si>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</si>
  <si>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</si>
  <si>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</si>
  <si>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</si>
  <si>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</si>
  <si>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</si>
  <si>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</si>
  <si>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</si>
  <si>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</si>
  <si>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</si>
  <si>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</si>
  <si>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</si>
  <si>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</si>
  <si>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</si>
  <si>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</si>
  <si>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</si>
  <si>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</si>
  <si>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</si>
  <si>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</si>
  <si>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</si>
  <si>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</si>
  <si>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</si>
  <si>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</si>
  <si>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</si>
  <si>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</si>
  <si>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</si>
  <si>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</si>
  <si>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</si>
  <si>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</si>
  <si>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</si>
  <si>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</si>
  <si>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</si>
  <si>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</si>
  <si>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</si>
  <si>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</si>
  <si>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</si>
  <si>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</si>
  <si>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</si>
  <si>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</si>
  <si>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</si>
  <si>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</si>
  <si>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</si>
  <si>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</si>
  <si>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</si>
  <si>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</si>
  <si>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</si>
  <si>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</si>
  <si>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</si>
  <si>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</si>
  <si>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</si>
  <si>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</si>
  <si>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</si>
  <si>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</si>
  <si>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</si>
  <si>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</si>
  <si>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</si>
  <si>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</si>
  <si>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</si>
  <si>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</si>
  <si>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</si>
  <si>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</si>
  <si>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</si>
  <si>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</si>
  <si>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</si>
  <si>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</si>
  <si>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</si>
  <si>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</si>
  <si>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</si>
  <si>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</si>
  <si>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</si>
  <si>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</si>
  <si>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</si>
  <si>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</si>
  <si>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</si>
  <si>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</si>
  <si>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</si>
  <si>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</si>
  <si>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</si>
  <si>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</si>
  <si>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</si>
  <si>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</si>
  <si>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</si>
  <si>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</si>
  <si>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</si>
  <si>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</si>
  <si>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</si>
  <si>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</si>
  <si>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</si>
  <si>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</si>
  <si>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</si>
  <si>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</si>
  <si>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</si>
  <si>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</si>
  <si>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</si>
  <si>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</si>
  <si>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</si>
  <si>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</si>
  <si>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</si>
  <si>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</si>
  <si>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</si>
  <si>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</si>
  <si>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</si>
  <si>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</si>
  <si>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</si>
  <si>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</si>
  <si>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</si>
  <si>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</si>
  <si>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</si>
  <si>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</si>
  <si>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</si>
  <si>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</si>
  <si>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</si>
  <si>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</si>
  <si>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</si>
  <si>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</si>
  <si>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</si>
  <si>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</si>
  <si>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</si>
  <si>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</si>
  <si>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</si>
  <si>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</si>
  <si>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</si>
  <si>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</si>
  <si>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</si>
  <si>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</si>
  <si>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</si>
  <si>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</si>
  <si>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</si>
  <si>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</si>
  <si>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</si>
  <si>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</si>
  <si>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</si>
  <si>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</si>
  <si>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</si>
  <si>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</si>
  <si>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</si>
  <si>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</si>
  <si>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</si>
  <si>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</si>
  <si>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</si>
  <si>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</si>
  <si>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</si>
  <si>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</si>
  <si>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</si>
  <si>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</si>
  <si>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</si>
  <si>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</si>
  <si>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</si>
  <si>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</si>
  <si>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</si>
  <si>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</si>
  <si>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</si>
  <si>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</si>
  <si>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</si>
  <si>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</si>
  <si>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</si>
  <si>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</si>
  <si>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</si>
  <si>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</si>
  <si>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</si>
  <si>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</si>
  <si>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</si>
  <si>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</si>
  <si>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</si>
  <si>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</si>
  <si>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</si>
  <si>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</si>
  <si>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</si>
  <si>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</si>
  <si>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</si>
  <si>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</si>
  <si>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</si>
  <si>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</si>
  <si>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</si>
  <si>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</si>
  <si>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</si>
  <si>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</si>
  <si>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</si>
  <si>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</si>
  <si>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</si>
  <si>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</si>
  <si>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</si>
  <si>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</si>
  <si>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</si>
  <si>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</si>
  <si>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</si>
  <si>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</si>
  <si>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</si>
  <si>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</si>
  <si>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</si>
  <si>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</si>
  <si>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</si>
  <si>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</si>
  <si>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</si>
  <si>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</si>
  <si>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</si>
  <si>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</si>
  <si>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</si>
  <si>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</si>
  <si>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</si>
  <si>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</si>
  <si>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</si>
  <si>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</si>
  <si>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</si>
  <si>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</si>
  <si>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</si>
  <si>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</si>
  <si>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</si>
  <si>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</si>
  <si>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</si>
  <si>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</si>
  <si>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</si>
  <si>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</si>
  <si>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</si>
  <si>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</si>
  <si>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</si>
  <si>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</si>
  <si>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</si>
  <si>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</si>
  <si>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</si>
  <si>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</si>
  <si>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</si>
  <si>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</si>
  <si>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</si>
  <si>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</si>
  <si>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</si>
  <si>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</si>
  <si>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</si>
  <si>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</si>
  <si>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</si>
  <si>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</si>
  <si>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</si>
  <si>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</si>
  <si>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</si>
  <si>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</si>
  <si>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</si>
  <si>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</si>
  <si>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</si>
  <si>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</si>
  <si>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</si>
  <si>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</si>
  <si>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</si>
  <si>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</si>
  <si>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</si>
  <si>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</si>
  <si>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</si>
  <si>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</si>
  <si>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</si>
  <si>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</si>
  <si>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</si>
  <si>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</si>
  <si>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</si>
  <si>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</si>
  <si>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</si>
  <si>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</si>
  <si>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</si>
  <si>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</si>
  <si>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</si>
  <si>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</si>
  <si>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</si>
  <si>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</si>
  <si>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</si>
  <si>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</si>
  <si>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</si>
  <si>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</si>
  <si>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</si>
  <si>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</si>
  <si>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</si>
  <si>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</si>
  <si>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</si>
  <si>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</si>
  <si>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</si>
  <si>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</si>
  <si>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</si>
  <si>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</si>
  <si>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</si>
  <si>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</si>
  <si>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</si>
  <si>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</si>
  <si>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</si>
  <si>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</si>
  <si>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</si>
  <si>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</si>
  <si>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</si>
  <si>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</si>
  <si>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</si>
  <si>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</si>
  <si>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</si>
  <si>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</si>
  <si>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</si>
  <si>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</si>
  <si>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</si>
  <si>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</si>
  <si>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</si>
  <si>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</si>
  <si>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</si>
  <si>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</si>
  <si>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</si>
  <si>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</si>
  <si>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</si>
  <si>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</si>
  <si>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</si>
  <si>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</si>
  <si>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</si>
  <si>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</si>
  <si>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</si>
  <si>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</si>
  <si>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</si>
  <si>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</si>
  <si>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</si>
  <si>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</si>
  <si>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</si>
  <si>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</si>
  <si>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</si>
  <si>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</si>
  <si>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</si>
  <si>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</si>
  <si>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</si>
  <si>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</si>
  <si>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</si>
  <si>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</si>
  <si>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</si>
  <si>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</si>
  <si>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</si>
  <si>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</si>
  <si>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</si>
  <si>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</si>
  <si>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</si>
  <si>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</si>
  <si>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</si>
  <si>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</si>
  <si>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</si>
  <si>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</si>
  <si>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</si>
  <si>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</si>
  <si>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</si>
  <si>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</si>
  <si>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</si>
  <si>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</si>
  <si>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</si>
  <si>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</si>
  <si>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</si>
  <si>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</si>
  <si>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</si>
  <si>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</si>
  <si>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</si>
  <si>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</si>
  <si>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</si>
  <si>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</si>
  <si>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</si>
  <si>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</si>
  <si>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</si>
  <si>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</si>
  <si>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</si>
  <si>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</si>
  <si>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</si>
  <si>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</si>
  <si>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</si>
  <si>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</si>
  <si>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</si>
  <si>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</si>
  <si>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</si>
  <si>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</si>
  <si>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</si>
  <si>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</si>
  <si>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</si>
  <si>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</si>
  <si>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</si>
  <si>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</si>
  <si>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</si>
  <si>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</si>
  <si>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</si>
  <si>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</si>
  <si>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</si>
  <si>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</si>
  <si>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</si>
  <si>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</si>
  <si>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</si>
  <si>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</si>
  <si>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</si>
  <si>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</si>
  <si>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</si>
  <si>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</si>
  <si>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</si>
  <si>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</si>
  <si>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</si>
  <si>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</si>
  <si>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</si>
  <si>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</si>
  <si>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</si>
  <si>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</si>
  <si>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</si>
  <si>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</si>
  <si>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</si>
  <si>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</si>
  <si>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</si>
  <si>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</si>
  <si>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</si>
  <si>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</si>
  <si>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</si>
  <si>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</si>
  <si>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</si>
  <si>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</si>
  <si>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</si>
  <si>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</si>
  <si>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</si>
  <si>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</si>
  <si>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</si>
  <si>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</si>
  <si>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</si>
  <si>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</si>
  <si>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</si>
  <si>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</si>
  <si>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</si>
  <si>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</si>
  <si>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</si>
  <si>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</si>
  <si>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</si>
  <si>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</si>
  <si>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</si>
  <si>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</si>
  <si>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</si>
  <si>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</si>
  <si>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</si>
  <si>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</si>
  <si>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</si>
  <si>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</si>
  <si>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</si>
  <si>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</si>
  <si>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</si>
  <si>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</si>
  <si>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</si>
  <si>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</si>
  <si>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</si>
  <si>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</si>
  <si>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</si>
  <si>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</si>
  <si>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</si>
  <si>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</si>
  <si>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</si>
  <si>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</si>
  <si>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</si>
  <si>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</si>
  <si>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</si>
  <si>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</si>
  <si>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</si>
  <si>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</si>
  <si>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</si>
  <si>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</si>
  <si>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</si>
  <si>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</si>
  <si>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</si>
  <si>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</si>
  <si>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</si>
  <si>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</si>
  <si>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</si>
  <si>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</si>
  <si>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</si>
  <si>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</si>
  <si>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</si>
  <si>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</si>
  <si>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</si>
  <si>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</si>
  <si>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</si>
  <si>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</si>
  <si>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</si>
  <si>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</si>
  <si>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</si>
  <si>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</si>
  <si>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</si>
  <si>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</si>
  <si>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</si>
  <si>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</si>
  <si>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</si>
  <si>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</si>
  <si>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</si>
  <si>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</si>
  <si>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</si>
  <si>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</si>
  <si>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</si>
  <si>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</si>
  <si>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</si>
  <si>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</si>
  <si>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</si>
  <si>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</si>
  <si>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</si>
  <si>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</si>
  <si>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</si>
  <si>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</si>
  <si>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</si>
  <si>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</si>
  <si>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</si>
  <si>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</si>
  <si>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</si>
  <si>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</si>
  <si>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</si>
  <si>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</si>
  <si>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</si>
  <si>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</si>
  <si>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</si>
  <si>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</si>
  <si>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</si>
  <si>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</si>
  <si>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</si>
  <si>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</si>
  <si>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</si>
  <si>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</si>
  <si>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</si>
  <si>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</si>
  <si>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</si>
  <si>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</si>
  <si>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</si>
  <si>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</si>
  <si>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</si>
  <si>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</si>
  <si>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</si>
  <si>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</si>
  <si>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</si>
  <si>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</si>
  <si>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</si>
  <si>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</si>
  <si>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</si>
  <si>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</si>
  <si>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</si>
  <si>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</si>
  <si>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</si>
  <si>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</si>
  <si>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</si>
  <si>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</si>
  <si>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</si>
  <si>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</si>
  <si>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</si>
  <si>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</si>
  <si>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</si>
  <si>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</si>
  <si>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</si>
  <si>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</si>
  <si>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</si>
  <si>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</si>
  <si>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</si>
  <si>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</si>
  <si>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</si>
  <si>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</si>
  <si>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</si>
  <si>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</si>
  <si>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</si>
  <si>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</si>
  <si>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</si>
  <si>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</si>
  <si>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</si>
  <si>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</si>
  <si>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</si>
  <si>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</si>
  <si>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</si>
  <si>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</si>
  <si>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</si>
  <si>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</si>
  <si>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</si>
  <si>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</si>
  <si>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</si>
  <si>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</si>
  <si>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</si>
  <si>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</si>
  <si>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</si>
  <si>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</si>
  <si>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</si>
  <si>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</si>
  <si>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</si>
  <si>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</si>
  <si>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</si>
  <si>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</si>
  <si>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</si>
  <si>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</si>
  <si>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</si>
  <si>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</si>
  <si>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</si>
  <si>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</si>
  <si>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</si>
  <si>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</si>
  <si>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</si>
  <si>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</si>
  <si>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</si>
  <si>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</si>
  <si>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</si>
  <si>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</si>
  <si>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</si>
  <si>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</si>
  <si>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</si>
  <si>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</si>
  <si>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</si>
  <si>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</si>
  <si>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</si>
  <si>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</si>
  <si>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</si>
  <si>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</si>
  <si>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</si>
  <si>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</si>
  <si>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</si>
  <si>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</si>
  <si>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</si>
  <si>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</si>
  <si>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</si>
  <si>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</si>
  <si>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</si>
  <si>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</si>
  <si>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</si>
  <si>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</si>
  <si>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</si>
  <si>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</si>
  <si>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</si>
  <si>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</si>
  <si>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</si>
  <si>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</si>
  <si>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</si>
  <si>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</si>
  <si>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</si>
  <si>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</si>
  <si>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</si>
  <si>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</si>
  <si>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</si>
  <si>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</si>
  <si>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</si>
  <si>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</si>
  <si>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</si>
  <si>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</si>
  <si>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</si>
  <si>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</si>
  <si>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</si>
  <si>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</si>
  <si>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</si>
  <si>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</si>
  <si>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</si>
  <si>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</si>
  <si>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</si>
  <si>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</si>
  <si>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</si>
  <si>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</si>
  <si>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</si>
  <si>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</si>
  <si>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</si>
  <si>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</si>
  <si>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</si>
  <si>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</si>
  <si>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</si>
  <si>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</si>
  <si>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</si>
  <si>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</si>
  <si>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</si>
  <si>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</si>
  <si>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</si>
  <si>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</si>
  <si>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</si>
  <si>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</si>
  <si>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</si>
  <si>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</si>
  <si>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</si>
  <si>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</si>
  <si>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</si>
  <si>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</si>
  <si>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</si>
  <si>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</si>
  <si>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</si>
  <si>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</si>
  <si>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</si>
  <si>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</si>
  <si>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</si>
  <si>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</si>
  <si>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</si>
  <si>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</si>
  <si>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</si>
  <si>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</si>
  <si>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</si>
  <si>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</si>
  <si>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</si>
  <si>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</si>
  <si>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</si>
  <si>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</si>
  <si>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</si>
  <si>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</si>
  <si>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</si>
  <si>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</si>
  <si>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</si>
  <si>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</si>
  <si>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</si>
  <si>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</si>
  <si>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</si>
  <si>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</si>
  <si>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</si>
  <si>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</si>
  <si>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</si>
  <si>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</si>
  <si>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</si>
  <si>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</si>
  <si>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</si>
  <si>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</si>
  <si>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</si>
  <si>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</si>
  <si>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</si>
  <si>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</si>
  <si>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</si>
  <si>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</si>
  <si>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</si>
  <si>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</si>
  <si>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</si>
  <si>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</si>
  <si>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</si>
  <si>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</si>
  <si>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</si>
  <si>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</si>
  <si>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</si>
  <si>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</si>
  <si>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</si>
  <si>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</si>
  <si>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</si>
  <si>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</si>
  <si>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</si>
  <si>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</si>
  <si>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</si>
  <si>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</si>
  <si>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</si>
  <si>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</si>
  <si>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</si>
  <si>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</si>
  <si>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</si>
  <si>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</si>
  <si>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</si>
  <si>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</si>
  <si>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</si>
  <si>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</si>
  <si>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</si>
  <si>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</si>
  <si>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</si>
  <si>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</si>
  <si>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</si>
  <si>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</si>
  <si>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</si>
  <si>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</si>
  <si>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</si>
  <si>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</si>
  <si>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</si>
  <si>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</si>
  <si>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</si>
  <si>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</si>
  <si>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</si>
  <si>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</si>
  <si>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</si>
  <si>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</si>
  <si>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</si>
  <si>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</si>
  <si>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</si>
  <si>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</si>
  <si>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</si>
  <si>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</si>
  <si>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</si>
  <si>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</si>
  <si>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</si>
  <si>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</si>
  <si>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</si>
  <si>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</si>
  <si>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</si>
  <si>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</si>
  <si>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</si>
  <si>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</si>
  <si>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</si>
  <si>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</si>
  <si>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</si>
  <si>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</si>
  <si>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</si>
  <si>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</si>
  <si>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</si>
  <si>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</si>
  <si>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</si>
  <si>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</si>
  <si>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</si>
  <si>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</si>
  <si>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</si>
  <si>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</si>
  <si>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</si>
  <si>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</si>
  <si>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</si>
  <si>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</si>
  <si>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</si>
  <si>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</si>
  <si>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</si>
  <si>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</si>
  <si>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</si>
  <si>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</si>
  <si>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</si>
  <si>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</si>
  <si>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</si>
  <si>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</si>
  <si>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</si>
  <si>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</si>
  <si>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</si>
  <si>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</si>
  <si>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</si>
  <si>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</si>
  <si>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</si>
  <si>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</si>
  <si>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</si>
  <si>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</si>
  <si>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</si>
  <si>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</si>
  <si>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</si>
  <si>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</si>
  <si>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</si>
  <si>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</si>
  <si>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</si>
  <si>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</si>
  <si>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</si>
  <si>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</si>
  <si>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</si>
  <si>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</si>
  <si>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</si>
  <si>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</si>
  <si>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</si>
  <si>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</si>
  <si>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</si>
  <si>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</si>
  <si>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</si>
  <si>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</si>
  <si>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</si>
  <si>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</si>
  <si>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</si>
  <si>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</si>
  <si>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</si>
  <si>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</si>
  <si>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</si>
  <si>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</si>
  <si>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</si>
  <si>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</si>
  <si>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</si>
  <si>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</si>
  <si>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</si>
  <si>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</si>
  <si>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</si>
  <si>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</si>
  <si>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</si>
  <si>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</si>
  <si>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</si>
  <si>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</si>
  <si>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</si>
  <si>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</si>
  <si>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</si>
  <si>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</si>
  <si>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</si>
  <si>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</si>
  <si>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</si>
  <si>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</si>
  <si>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</si>
  <si>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</si>
  <si>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</si>
  <si>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</si>
  <si>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</si>
  <si>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</si>
  <si>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</si>
  <si>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</si>
  <si>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</si>
  <si>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</si>
  <si>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</si>
  <si>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</si>
  <si>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</si>
  <si>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</si>
  <si>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</si>
  <si>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</si>
  <si>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</si>
  <si>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</si>
  <si>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</si>
  <si>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</si>
  <si>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</si>
  <si>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</si>
  <si>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</si>
  <si>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</si>
  <si>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</si>
  <si>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</si>
  <si>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</si>
  <si>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</si>
  <si>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</si>
  <si>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</si>
  <si>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</si>
  <si>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</si>
  <si>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</si>
  <si>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</si>
  <si>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</si>
  <si>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</si>
  <si>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</si>
  <si>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</si>
  <si>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</si>
  <si>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</si>
  <si>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</si>
  <si>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</si>
  <si>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</si>
  <si>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</si>
  <si>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</si>
  <si>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</si>
  <si>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</si>
  <si>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</si>
  <si>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</si>
  <si>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</si>
  <si>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</si>
  <si>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</si>
  <si>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</si>
  <si>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</si>
  <si>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</si>
  <si>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</si>
  <si>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</si>
  <si>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</si>
  <si>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</si>
  <si>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</si>
  <si>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</si>
  <si>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</si>
  <si>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</si>
  <si>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</si>
  <si>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</si>
  <si>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</si>
  <si>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</si>
  <si>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</si>
  <si>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</si>
  <si>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</si>
  <si>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</si>
  <si>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</si>
  <si>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</si>
  <si>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</si>
  <si>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</si>
  <si>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</si>
  <si>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</si>
  <si>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</si>
  <si>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</si>
  <si>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</si>
  <si>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</si>
  <si>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</si>
  <si>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</si>
  <si>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</si>
  <si>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</si>
  <si>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</si>
  <si>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</si>
  <si>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</si>
  <si>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</si>
  <si>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</si>
  <si>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</si>
  <si>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</si>
  <si>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</si>
  <si>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</si>
  <si>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</si>
  <si>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</si>
  <si>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</si>
  <si>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</si>
  <si>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</si>
  <si>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</si>
  <si>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</si>
  <si>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</si>
  <si>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</si>
  <si>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</si>
  <si>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</si>
  <si>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</si>
  <si>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</si>
  <si>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</si>
  <si>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</si>
  <si>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</si>
  <si>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</si>
  <si>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</si>
  <si>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</si>
  <si>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</si>
  <si>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</si>
  <si>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</si>
  <si>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</si>
  <si>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</si>
  <si>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</si>
  <si>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</si>
  <si>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</si>
  <si>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</si>
  <si>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</si>
  <si>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</si>
  <si>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</si>
  <si>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</si>
  <si>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</si>
  <si>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</si>
  <si>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</si>
  <si>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</si>
  <si>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</si>
  <si>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</si>
  <si>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</si>
  <si>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</si>
  <si>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</si>
  <si>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</si>
  <si>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</si>
  <si>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</si>
  <si>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</si>
  <si>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</si>
  <si>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</si>
  <si>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</si>
  <si>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</si>
  <si>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</si>
  <si>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</si>
  <si>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</si>
  <si>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</si>
  <si>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</si>
  <si>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</si>
  <si>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</si>
  <si>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</si>
  <si>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</si>
  <si>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</si>
  <si>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</si>
  <si>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</si>
  <si>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</si>
  <si>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</si>
  <si>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</si>
  <si>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</si>
  <si>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</si>
  <si>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</si>
  <si>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</si>
  <si>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</si>
  <si>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</si>
  <si>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</si>
  <si>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</si>
  <si>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</si>
  <si>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</si>
  <si>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</si>
  <si>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</si>
  <si>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</si>
  <si>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</si>
  <si>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</si>
  <si>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</si>
  <si>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</si>
  <si>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</si>
  <si>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</si>
  <si>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</si>
  <si>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</si>
  <si>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</si>
  <si>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</si>
  <si>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</si>
  <si>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</si>
  <si>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</si>
  <si>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</si>
  <si>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</si>
  <si>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</si>
  <si>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</si>
  <si>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</si>
  <si>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</si>
  <si>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</si>
  <si>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</si>
  <si>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</si>
  <si>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</si>
  <si>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</si>
  <si>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</si>
  <si>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</si>
  <si>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</si>
  <si>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</si>
  <si>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</si>
  <si>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</si>
  <si>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</si>
  <si>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</si>
  <si>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</si>
  <si>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</si>
  <si>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</si>
  <si>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</si>
  <si>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</si>
  <si>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</si>
  <si>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</si>
  <si>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</si>
  <si>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</si>
  <si>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</si>
  <si>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</si>
  <si>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</si>
  <si>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</si>
  <si>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</si>
  <si>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</si>
  <si>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</si>
  <si>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</si>
  <si>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</si>
  <si>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</si>
  <si>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</si>
  <si>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</si>
  <si>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</si>
  <si>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</si>
  <si>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</si>
  <si>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</si>
  <si>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</si>
  <si>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</si>
  <si>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</si>
  <si>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</si>
  <si>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</si>
  <si>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</si>
  <si>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</si>
  <si>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</si>
  <si>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</si>
  <si>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</si>
  <si>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</si>
  <si>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</si>
  <si>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</si>
  <si>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</si>
  <si>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</si>
  <si>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</si>
  <si>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</si>
  <si>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</si>
  <si>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</si>
  <si>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</si>
  <si>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</si>
  <si>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</si>
  <si>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</si>
  <si>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</si>
  <si>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</si>
  <si>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</si>
  <si>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</si>
  <si>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</si>
  <si>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</si>
  <si>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</si>
  <si>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</si>
  <si>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</si>
  <si>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</si>
  <si>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</si>
  <si>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</si>
  <si>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</si>
  <si>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</si>
  <si>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</si>
  <si>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</si>
  <si>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</si>
  <si>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</si>
  <si>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</si>
  <si>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</si>
  <si>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</si>
  <si>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</si>
  <si>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</si>
  <si>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</si>
  <si>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</si>
  <si>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</si>
  <si>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</si>
  <si>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</si>
  <si>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</si>
  <si>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</si>
  <si>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</si>
  <si>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</si>
  <si>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</si>
  <si>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</si>
  <si>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</si>
  <si>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</si>
  <si>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</si>
  <si>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</si>
  <si>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</si>
  <si>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</si>
  <si>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</si>
  <si>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</si>
  <si>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</si>
  <si>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</si>
  <si>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</si>
  <si>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</si>
  <si>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</si>
  <si>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</si>
  <si>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</si>
  <si>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</si>
  <si>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</si>
  <si>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</si>
  <si>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</si>
  <si>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</si>
  <si>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</si>
  <si>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</si>
  <si>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</si>
  <si>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</si>
  <si>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</si>
  <si>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</si>
  <si>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</si>
  <si>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</si>
  <si>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</si>
  <si>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</si>
  <si>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</si>
  <si>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</si>
  <si>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</si>
  <si>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</si>
  <si>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</si>
  <si>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</si>
  <si>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</si>
  <si>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</si>
  <si>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</si>
  <si>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</si>
  <si>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</si>
  <si>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</si>
  <si>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</si>
  <si>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</si>
  <si>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</si>
  <si>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</si>
  <si>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</si>
  <si>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</si>
  <si>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</si>
  <si>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</si>
  <si>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</si>
  <si>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</si>
  <si>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</si>
  <si>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</si>
  <si>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</si>
  <si>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</si>
  <si>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</si>
  <si>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</si>
  <si>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</si>
  <si>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</si>
  <si>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</si>
  <si>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</si>
  <si>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</si>
  <si>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</si>
  <si>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</si>
  <si>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</si>
  <si>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</si>
  <si>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</si>
  <si>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</si>
  <si>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</si>
  <si>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</si>
  <si>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</si>
  <si>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</si>
  <si>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</si>
  <si>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</si>
  <si>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</si>
  <si>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</si>
  <si>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</si>
  <si>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</si>
  <si>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</si>
  <si>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</si>
  <si>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</si>
  <si>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</si>
  <si>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</si>
  <si>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</si>
  <si>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</si>
  <si>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</si>
  <si>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</si>
  <si>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</si>
  <si>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</si>
  <si>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</si>
  <si>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</si>
  <si>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</si>
  <si>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</si>
  <si>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</si>
  <si>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</si>
  <si>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</si>
  <si>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</si>
  <si>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</si>
  <si>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</si>
  <si>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</si>
  <si>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</si>
  <si>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</si>
  <si>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</si>
  <si>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</si>
  <si>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</si>
  <si>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</si>
  <si>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</si>
  <si>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</si>
  <si>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</si>
  <si>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</si>
  <si>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</si>
  <si>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</si>
  <si>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</si>
  <si>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</si>
  <si>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</si>
  <si>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</si>
  <si>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</si>
  <si>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</si>
  <si>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</si>
  <si>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</si>
  <si>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</si>
  <si>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</si>
  <si>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</si>
  <si>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</si>
  <si>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</si>
  <si>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</si>
  <si>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</si>
  <si>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</si>
  <si>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</si>
  <si>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</si>
  <si>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</si>
  <si>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</si>
  <si>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</si>
  <si>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</si>
  <si>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</si>
  <si>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</si>
  <si>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</si>
  <si>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</si>
  <si>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</si>
  <si>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</si>
  <si>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</si>
  <si>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</si>
  <si>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</si>
  <si>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</si>
  <si>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</si>
  <si>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</si>
  <si>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</si>
  <si>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</si>
  <si>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</si>
  <si>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</si>
  <si>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</si>
  <si>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</si>
  <si>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</si>
  <si>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</si>
  <si>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</si>
  <si>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</si>
  <si>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</si>
  <si>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</si>
  <si>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</si>
  <si>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</si>
  <si>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</si>
  <si>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</si>
  <si>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</si>
  <si>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</si>
  <si>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</si>
  <si>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</si>
  <si>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</si>
  <si>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</si>
  <si>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</si>
  <si>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</si>
  <si>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</si>
  <si>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</si>
  <si>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</si>
  <si>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</si>
  <si>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</si>
  <si>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</si>
  <si>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</si>
  <si>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</si>
  <si>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</si>
  <si>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</si>
  <si>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</si>
  <si>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</si>
  <si>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</si>
  <si>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</si>
  <si>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</si>
  <si>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</si>
  <si>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</si>
  <si>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</si>
  <si>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</si>
  <si>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</si>
  <si>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</si>
  <si>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</si>
  <si>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</si>
  <si>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</si>
  <si>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</si>
  <si>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</si>
  <si>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</si>
  <si>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</si>
  <si>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</si>
  <si>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</si>
  <si>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</si>
  <si>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</si>
  <si>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</si>
  <si>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</si>
  <si>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</si>
  <si>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</si>
  <si>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</si>
  <si>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</si>
  <si>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</si>
  <si>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</si>
  <si>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</si>
  <si>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</si>
  <si>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</si>
  <si>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</si>
  <si>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</si>
  <si>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</si>
  <si>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</si>
  <si>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</si>
  <si>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</si>
  <si>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</si>
  <si>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</si>
  <si>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</si>
  <si>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</si>
  <si>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</si>
  <si>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</si>
  <si>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</si>
  <si>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</si>
  <si>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</si>
  <si>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</si>
  <si>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</si>
  <si>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</si>
  <si>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</si>
  <si>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</si>
  <si>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</si>
  <si>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</si>
  <si>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</si>
  <si>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</si>
  <si>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</si>
  <si>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</si>
  <si>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</si>
  <si>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</si>
  <si>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</si>
  <si>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</si>
  <si>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</si>
  <si>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</si>
  <si>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</si>
  <si>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</si>
  <si>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</si>
  <si>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</si>
  <si>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</si>
  <si>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</si>
  <si>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</si>
  <si>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</si>
  <si>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</si>
  <si>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</si>
  <si>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</si>
  <si>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</si>
  <si>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</si>
  <si>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</si>
  <si>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</si>
  <si>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</si>
  <si>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</si>
  <si>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</si>
  <si>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</si>
  <si>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</si>
  <si>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</si>
  <si>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</si>
  <si>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</si>
  <si>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</si>
  <si>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</si>
  <si>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</si>
  <si>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</si>
  <si>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</si>
  <si>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</si>
  <si>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</si>
  <si>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</si>
  <si>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</si>
  <si>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</si>
  <si>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</si>
  <si>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</si>
  <si>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</si>
  <si>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</si>
  <si>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</si>
  <si>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</si>
  <si>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</si>
  <si>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</si>
  <si>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</si>
  <si>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</si>
  <si>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</si>
  <si>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</si>
  <si>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</si>
  <si>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</si>
  <si>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</si>
  <si>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</si>
  <si>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</si>
  <si>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</si>
  <si>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</si>
  <si>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</si>
  <si>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</si>
  <si>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</si>
  <si>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</si>
  <si>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</si>
  <si>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</si>
  <si>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</si>
  <si>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</si>
  <si>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</si>
  <si>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</si>
  <si>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</si>
  <si>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</si>
  <si>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</si>
  <si>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</si>
  <si>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</si>
  <si>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</si>
  <si>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</si>
  <si>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</si>
  <si>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</si>
  <si>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</si>
  <si>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</si>
  <si>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</si>
  <si>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</si>
  <si>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</si>
  <si>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</si>
  <si>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</si>
  <si>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</si>
  <si>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</si>
  <si>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</si>
  <si>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</si>
  <si>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</si>
  <si>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</si>
  <si>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</si>
  <si>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</si>
  <si>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</si>
  <si>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</si>
  <si>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</si>
  <si>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</si>
  <si>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</si>
  <si>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</si>
  <si>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</si>
  <si>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</si>
  <si>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</si>
  <si>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</si>
  <si>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</si>
  <si>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</si>
  <si>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</si>
  <si>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</si>
  <si>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</si>
  <si>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</si>
  <si>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</si>
  <si>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</si>
  <si>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</si>
  <si>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</si>
  <si>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</si>
  <si>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</si>
  <si>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</si>
  <si>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</si>
  <si>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</si>
  <si>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</si>
  <si>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</si>
  <si>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</si>
  <si>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</si>
  <si>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</si>
  <si>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</si>
  <si>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</si>
  <si>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</si>
  <si>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</si>
  <si>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</si>
  <si>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</si>
  <si>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</si>
  <si>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</si>
  <si>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</si>
  <si>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</si>
  <si>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</si>
  <si>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</si>
  <si>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</si>
  <si>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</si>
  <si>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</si>
  <si>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</si>
  <si>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</si>
  <si>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</si>
  <si>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</si>
  <si>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</si>
  <si>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</si>
  <si>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</si>
  <si>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</si>
  <si>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</si>
  <si>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</si>
  <si>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</si>
  <si>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</si>
  <si>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</si>
  <si>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</si>
  <si>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</si>
  <si>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</si>
  <si>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</si>
  <si>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</si>
  <si>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</si>
  <si>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</si>
  <si>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</si>
  <si>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</si>
  <si>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</si>
  <si>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</si>
  <si>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</si>
  <si>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</si>
  <si>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</si>
  <si>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</si>
  <si>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</si>
  <si>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</si>
  <si>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</si>
  <si>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</si>
  <si>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</si>
  <si>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</si>
  <si>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</si>
  <si>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</si>
  <si>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</si>
  <si>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</si>
  <si>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</si>
  <si>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</si>
  <si>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</si>
  <si>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</si>
  <si>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</si>
  <si>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</si>
  <si>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</si>
  <si>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</si>
  <si>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</si>
  <si>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</si>
  <si>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</si>
  <si>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</si>
  <si>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</si>
  <si>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</si>
  <si>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</si>
  <si>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</si>
  <si>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</si>
  <si>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</si>
  <si>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</si>
  <si>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</si>
  <si>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</si>
  <si>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</si>
  <si>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</si>
  <si>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</si>
  <si>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</si>
  <si>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</si>
  <si>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</si>
  <si>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</si>
  <si>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</si>
  <si>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</si>
  <si>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</si>
  <si>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</si>
  <si>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</si>
  <si>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</si>
  <si>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</si>
  <si>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</si>
  <si>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</si>
  <si>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</si>
  <si>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</si>
  <si>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</si>
  <si>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</si>
  <si>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</si>
  <si>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</si>
  <si>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</si>
  <si>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</si>
  <si>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</si>
  <si>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</si>
  <si>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</si>
  <si>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</si>
  <si>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</si>
  <si>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</si>
  <si>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</si>
  <si>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</si>
  <si>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</si>
  <si>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</si>
  <si>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</si>
  <si>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</si>
  <si>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</si>
  <si>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</si>
  <si>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</si>
  <si>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</si>
  <si>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</si>
  <si>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</si>
  <si>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</si>
  <si>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</si>
  <si>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</si>
  <si>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</si>
  <si>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</si>
  <si>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</si>
  <si>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</si>
  <si>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</si>
  <si>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</si>
  <si>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</si>
  <si>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</si>
  <si>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</si>
  <si>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</si>
  <si>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</si>
  <si>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</si>
  <si>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</si>
  <si>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</si>
  <si>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</si>
  <si>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</si>
  <si>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</si>
  <si>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</si>
  <si>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</si>
  <si>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</si>
  <si>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</si>
  <si>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</si>
  <si>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</si>
  <si>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</si>
  <si>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</si>
  <si>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</si>
  <si>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</si>
  <si>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</si>
  <si>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</si>
  <si>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</si>
  <si>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</si>
  <si>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</si>
  <si>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</si>
  <si>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</si>
  <si>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</si>
  <si>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</si>
  <si>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</si>
  <si>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</si>
  <si>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</si>
  <si>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</si>
  <si>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</si>
  <si>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</si>
  <si>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</si>
  <si>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</si>
  <si>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</si>
  <si>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</si>
  <si>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</si>
  <si>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</si>
  <si>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</si>
  <si>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</si>
  <si>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</si>
  <si>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</si>
  <si>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</si>
  <si>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</si>
  <si>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</si>
  <si>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</si>
  <si>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</si>
  <si>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</si>
  <si>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</si>
  <si>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</si>
  <si>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</si>
  <si>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</si>
  <si>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</si>
  <si>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</si>
  <si>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</si>
  <si>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</si>
  <si>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</si>
  <si>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</si>
  <si>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</si>
  <si>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</si>
  <si>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</si>
  <si>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</si>
  <si>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</si>
  <si>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</si>
  <si>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</si>
  <si>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</si>
  <si>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</si>
  <si>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</si>
  <si>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</si>
  <si>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</si>
  <si>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</si>
  <si>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</si>
  <si>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</si>
  <si>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</si>
  <si>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</si>
  <si>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</si>
  <si>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</si>
  <si>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</si>
  <si>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</si>
  <si>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</si>
  <si>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</si>
  <si>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</si>
  <si>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</si>
  <si>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</si>
  <si>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</si>
  <si>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</si>
  <si>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</si>
  <si>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</si>
  <si>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</si>
  <si>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</si>
  <si>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</si>
  <si>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</si>
  <si>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</si>
  <si>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</si>
  <si>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</si>
  <si>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</si>
  <si>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</si>
  <si>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</si>
  <si>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</si>
  <si>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</si>
  <si>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</si>
  <si>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</si>
  <si>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</si>
  <si>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</si>
  <si>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</si>
  <si>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</si>
  <si>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</si>
  <si>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</si>
  <si>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</si>
  <si>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</si>
  <si>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</si>
  <si>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</si>
  <si>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</si>
  <si>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</si>
  <si>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</si>
  <si>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</si>
  <si>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</si>
  <si>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</si>
  <si>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</si>
  <si>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</si>
  <si>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</si>
  <si>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</si>
  <si>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</si>
  <si>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</si>
  <si>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</si>
  <si>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</si>
  <si>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</si>
  <si>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</si>
  <si>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</si>
  <si>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</si>
  <si>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</si>
  <si>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</si>
  <si>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</si>
  <si>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</si>
  <si>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</si>
  <si>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</si>
  <si>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</si>
  <si>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</si>
  <si>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</si>
  <si>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</si>
  <si>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</si>
  <si>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</si>
  <si>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</si>
  <si>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</si>
  <si>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</si>
  <si>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</si>
  <si>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</si>
  <si>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</si>
  <si>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</si>
  <si>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</si>
  <si>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</si>
  <si>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</si>
  <si>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</si>
  <si>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</si>
  <si>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</si>
  <si>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</si>
  <si>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</si>
  <si>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</si>
  <si>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</si>
  <si>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</si>
  <si>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</si>
  <si>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</si>
  <si>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</si>
  <si>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</si>
  <si>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</si>
  <si>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</si>
  <si>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</si>
  <si>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</si>
  <si>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</si>
  <si>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</si>
  <si>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</si>
  <si>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</si>
  <si>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</si>
  <si>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</si>
  <si>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</si>
  <si>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</si>
  <si>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</si>
  <si>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</si>
  <si>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</si>
  <si>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</si>
  <si>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</si>
  <si>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</si>
  <si>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</si>
  <si>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</si>
  <si>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</si>
  <si>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</si>
  <si>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</si>
  <si>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</si>
  <si>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</si>
  <si>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</si>
  <si>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</si>
  <si>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</si>
  <si>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</si>
  <si>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</si>
  <si>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</si>
  <si>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</si>
  <si>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</si>
  <si>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</si>
  <si>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</si>
  <si>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</si>
  <si>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</si>
  <si>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</si>
  <si>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</si>
  <si>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</si>
  <si>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</si>
  <si>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</si>
  <si>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</si>
  <si>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</si>
  <si>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</si>
  <si>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</si>
  <si>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</si>
  <si>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</si>
  <si>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</si>
  <si>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</si>
  <si>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</si>
  <si>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</si>
  <si>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</si>
  <si>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</si>
  <si>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</si>
  <si>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</si>
  <si>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</si>
  <si>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</si>
  <si>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</si>
  <si>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</si>
  <si>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</si>
  <si>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</si>
  <si>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</si>
  <si>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</si>
  <si>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</si>
  <si>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</si>
  <si>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</si>
  <si>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</si>
  <si>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</si>
  <si>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</si>
  <si>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</si>
  <si>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</si>
  <si>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</si>
  <si>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</si>
  <si>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</si>
  <si>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</si>
  <si>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</si>
  <si>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</si>
  <si>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</si>
  <si>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</si>
  <si>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</si>
  <si>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</si>
  <si>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</si>
  <si>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</si>
  <si>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</si>
  <si>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</si>
  <si>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</si>
  <si>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</si>
  <si>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</si>
  <si>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</si>
  <si>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</si>
  <si>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</si>
  <si>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</si>
  <si>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</si>
  <si>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</si>
  <si>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</si>
  <si>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</si>
  <si>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</si>
  <si>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</si>
  <si>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</si>
  <si>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</si>
  <si>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</si>
  <si>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</si>
  <si>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</si>
  <si>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</si>
  <si>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</si>
  <si>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</si>
  <si>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</si>
  <si>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</si>
  <si>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</si>
  <si>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</si>
  <si>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</si>
  <si>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</si>
  <si>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</si>
  <si>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</si>
  <si>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</si>
  <si>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</si>
  <si>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</si>
  <si>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</si>
  <si>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</si>
  <si>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</si>
  <si>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</si>
  <si>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</si>
  <si>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</si>
  <si>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</si>
  <si>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</si>
  <si>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</si>
  <si>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</si>
  <si>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</si>
  <si>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</si>
  <si>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</si>
  <si>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</si>
  <si>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</si>
  <si>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</si>
  <si>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</si>
  <si>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</si>
  <si>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</si>
  <si>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</si>
  <si>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</si>
  <si>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</si>
  <si>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</si>
  <si>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</si>
  <si>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</si>
  <si>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</si>
  <si>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</si>
  <si>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</si>
  <si>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</si>
  <si>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</si>
  <si>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</si>
  <si>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</si>
  <si>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</si>
  <si>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</si>
  <si>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</si>
  <si>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</si>
  <si>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</si>
  <si>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</si>
  <si>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</si>
  <si>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</si>
  <si>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</si>
  <si>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</si>
  <si>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</si>
  <si>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</si>
  <si>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</si>
  <si>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</si>
  <si>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</si>
  <si>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</si>
  <si>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</si>
  <si>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</si>
  <si>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</si>
  <si>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</si>
  <si>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</si>
  <si>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</si>
  <si>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</si>
  <si>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</si>
  <si>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</si>
  <si>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</si>
  <si>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</si>
  <si>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</si>
  <si>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</si>
  <si>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</si>
  <si>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</si>
  <si>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</si>
  <si>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</si>
  <si>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</si>
  <si>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</si>
  <si>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</si>
  <si>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</si>
  <si>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</si>
  <si>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</si>
  <si>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</si>
  <si>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</si>
  <si>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</si>
  <si>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</si>
  <si>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</si>
  <si>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</si>
  <si>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</si>
  <si>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</si>
  <si>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</si>
  <si>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</si>
  <si>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</si>
  <si>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</si>
  <si>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</si>
  <si>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</si>
  <si>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</si>
  <si>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</si>
  <si>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</si>
  <si>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</si>
  <si>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</si>
  <si>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</si>
  <si>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</si>
  <si>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</si>
  <si>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</si>
  <si>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</si>
  <si>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</si>
  <si>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</si>
  <si>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</si>
  <si>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</si>
  <si>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</si>
  <si>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</si>
  <si>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</si>
  <si>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</si>
  <si>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</si>
  <si>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</si>
  <si>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</si>
  <si>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</si>
  <si>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</si>
  <si>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</si>
  <si>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</si>
  <si>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</si>
  <si>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</si>
  <si>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</si>
  <si>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</si>
  <si>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</si>
  <si>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</si>
  <si>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</si>
  <si>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</si>
  <si>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</si>
  <si>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</si>
  <si>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</si>
  <si>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</si>
  <si>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</si>
  <si>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</si>
  <si>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</si>
  <si>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</si>
  <si>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</si>
  <si>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</si>
  <si>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</si>
  <si>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</si>
  <si>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</si>
  <si>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</si>
  <si>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</si>
  <si>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</si>
  <si>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</si>
  <si>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</si>
  <si>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</si>
  <si>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</si>
  <si>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</si>
  <si>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</si>
  <si>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</si>
  <si>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</si>
  <si>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</si>
  <si>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</si>
  <si>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</si>
  <si>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</si>
  <si>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</si>
  <si>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</si>
  <si>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</si>
  <si>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</si>
  <si>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</si>
  <si>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</si>
  <si>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</si>
  <si>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</si>
  <si>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</si>
  <si>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</si>
  <si>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</si>
  <si>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</si>
  <si>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</si>
  <si>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</si>
  <si>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</si>
  <si>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</si>
  <si>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</si>
  <si>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</si>
  <si>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</si>
  <si>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</si>
  <si>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</si>
  <si>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</si>
  <si>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</si>
  <si>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</si>
  <si>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</si>
  <si>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</si>
  <si>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</si>
  <si>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</si>
  <si>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</si>
  <si>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</si>
  <si>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</si>
  <si>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</si>
  <si>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</si>
  <si>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</si>
  <si>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</si>
  <si>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</si>
  <si>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</si>
  <si>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</si>
  <si>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</si>
  <si>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</si>
  <si>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</si>
  <si>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</si>
  <si>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</si>
  <si>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</si>
  <si>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</si>
  <si>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</si>
  <si>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</si>
  <si>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</si>
  <si>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</si>
  <si>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</si>
  <si>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</si>
  <si>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</si>
  <si>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</si>
  <si>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</si>
  <si>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</si>
  <si>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</si>
  <si>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</si>
  <si>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</si>
  <si>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</si>
  <si>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</si>
  <si>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</si>
  <si>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</si>
  <si>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</si>
  <si>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</si>
  <si>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</si>
  <si>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</si>
  <si>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</si>
  <si>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</si>
  <si>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</si>
  <si>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</si>
  <si>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</si>
  <si>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</si>
  <si>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</si>
  <si>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</si>
  <si>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</si>
  <si>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</si>
  <si>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</si>
  <si>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</si>
  <si>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</si>
  <si>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</si>
  <si>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</si>
  <si>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</si>
  <si>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</si>
  <si>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</si>
  <si>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</si>
  <si>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</si>
  <si>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</si>
  <si>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</si>
  <si>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</si>
  <si>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</si>
  <si>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</si>
  <si>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</si>
  <si>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</si>
  <si>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</si>
  <si>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</si>
  <si>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</si>
  <si>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</si>
  <si>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</si>
  <si>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</si>
  <si>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</si>
  <si>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</si>
  <si>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</si>
  <si>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</si>
  <si>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</si>
  <si>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</si>
  <si>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</si>
  <si>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</si>
  <si>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</si>
  <si>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</si>
  <si>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</si>
  <si>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</si>
  <si>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</si>
  <si>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</si>
  <si>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</si>
  <si>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</si>
  <si>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</si>
  <si>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</si>
  <si>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</si>
  <si>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</si>
  <si>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</si>
  <si>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</si>
  <si>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</si>
  <si>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</si>
  <si>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</si>
  <si>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</si>
  <si>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</si>
  <si>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</si>
  <si>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</si>
  <si>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</si>
  <si>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</si>
  <si>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</si>
  <si>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</si>
  <si>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</si>
  <si>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</si>
  <si>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</si>
  <si>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</si>
  <si>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</si>
  <si>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</si>
  <si>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</si>
  <si>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</si>
  <si>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</si>
  <si>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</si>
  <si>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</si>
  <si>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</si>
  <si>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</si>
  <si>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</si>
  <si>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</si>
  <si>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</si>
  <si>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</si>
  <si>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</si>
  <si>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</si>
  <si>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</si>
  <si>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</si>
  <si>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</si>
  <si>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</si>
  <si>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</si>
  <si>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</si>
  <si>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</si>
  <si>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</si>
  <si>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</si>
  <si>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</si>
  <si>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</si>
  <si>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</si>
  <si>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</si>
  <si>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</si>
  <si>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</si>
  <si>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</si>
  <si>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</si>
  <si>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</si>
  <si>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</si>
  <si>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</si>
  <si>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</si>
  <si>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</si>
  <si>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</si>
  <si>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</si>
  <si>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</si>
  <si>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</si>
  <si>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</si>
  <si>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</si>
  <si>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</si>
  <si>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</si>
  <si>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</si>
  <si>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</si>
  <si>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</si>
  <si>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</si>
  <si>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</si>
  <si>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</si>
  <si>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</si>
  <si>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</si>
  <si>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</si>
  <si>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</si>
  <si>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</si>
  <si>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</si>
  <si>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</si>
  <si>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</si>
  <si>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</si>
  <si>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</si>
  <si>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</si>
  <si>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</si>
  <si>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</si>
  <si>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</si>
  <si>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</si>
  <si>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</si>
  <si>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</si>
  <si>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</si>
  <si>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</si>
  <si>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</si>
  <si>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</si>
  <si>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</si>
  <si>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</si>
  <si>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</si>
  <si>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</si>
  <si>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</si>
  <si>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</si>
  <si>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</si>
  <si>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</si>
  <si>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</si>
  <si>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</si>
  <si>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</si>
  <si>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</si>
  <si>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</si>
  <si>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</si>
  <si>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</si>
  <si>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</si>
  <si>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</si>
  <si>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</si>
  <si>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</si>
  <si>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</si>
  <si>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</si>
  <si>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</si>
  <si>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</si>
  <si>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</si>
  <si>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</si>
  <si>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</si>
  <si>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</si>
  <si>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</si>
  <si>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</si>
  <si>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</si>
  <si>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</si>
  <si>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</si>
  <si>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</si>
  <si>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</si>
  <si>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</si>
  <si>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</si>
  <si>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</si>
  <si>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</si>
  <si>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</si>
  <si>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</si>
  <si>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</si>
  <si>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</si>
  <si>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</si>
  <si>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</si>
  <si>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</si>
  <si>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</si>
  <si>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</si>
  <si>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</si>
  <si>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</si>
  <si>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</si>
  <si>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</si>
  <si>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</si>
  <si>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</si>
  <si>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</si>
  <si>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</si>
  <si>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</si>
  <si>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</si>
  <si>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</si>
  <si>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</si>
  <si>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</si>
  <si>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</si>
  <si>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</si>
  <si>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</si>
  <si>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</si>
  <si>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</si>
  <si>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</si>
  <si>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</si>
  <si>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</si>
  <si>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</si>
  <si>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</si>
  <si>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</si>
  <si>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</si>
  <si>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</si>
  <si>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</si>
  <si>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</si>
  <si>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</si>
  <si>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</si>
  <si>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</si>
  <si>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</si>
  <si>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</si>
  <si>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</si>
  <si>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</si>
  <si>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</si>
  <si>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</si>
  <si>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</si>
  <si>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</si>
  <si>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</si>
  <si>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</si>
  <si>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</si>
  <si>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</si>
  <si>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</si>
  <si>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</si>
  <si>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</si>
  <si>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</si>
  <si>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</si>
  <si>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</si>
  <si>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</si>
  <si>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</si>
  <si>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</si>
  <si>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</si>
  <si>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</si>
  <si>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</si>
  <si>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</si>
  <si>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</si>
  <si>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</si>
  <si>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</si>
  <si>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</si>
  <si>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</si>
  <si>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</si>
  <si>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</si>
  <si>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</si>
  <si>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</si>
  <si>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</si>
  <si>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</si>
  <si>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</si>
  <si>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</si>
  <si>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</si>
  <si>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</si>
  <si>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</si>
  <si>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</si>
  <si>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</si>
  <si>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</si>
  <si>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</si>
  <si>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</si>
  <si>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</si>
  <si>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</si>
  <si>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</si>
  <si>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</si>
  <si>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</si>
  <si>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</si>
  <si>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</si>
  <si>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</si>
  <si>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</si>
  <si>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</si>
  <si>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</si>
  <si>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</si>
  <si>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</si>
  <si>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</si>
  <si>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</si>
  <si>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</si>
  <si>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</si>
  <si>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</si>
  <si>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</si>
  <si>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</si>
  <si>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</si>
  <si>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</si>
  <si>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</si>
  <si>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</si>
  <si>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</si>
  <si>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</si>
  <si>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</si>
  <si>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</si>
  <si>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</si>
  <si>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</si>
  <si>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</si>
  <si>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</si>
  <si>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</si>
  <si>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</si>
  <si>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</si>
  <si>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</si>
  <si>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</si>
  <si>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</si>
  <si>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</si>
  <si>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</si>
  <si>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</si>
  <si>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</si>
  <si>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</si>
  <si>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</si>
  <si>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</si>
  <si>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</si>
  <si>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</si>
  <si>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</si>
  <si>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</si>
  <si>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</si>
  <si>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</si>
  <si>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</si>
  <si>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</si>
  <si>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</si>
  <si>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</si>
  <si>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</si>
  <si>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</si>
  <si>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</si>
  <si>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</si>
  <si>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</si>
  <si>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</si>
  <si>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</si>
  <si>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</si>
  <si>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</si>
  <si>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</si>
  <si>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</si>
  <si>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</si>
  <si>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</si>
  <si>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</si>
  <si>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</si>
  <si>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</si>
  <si>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</si>
  <si>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</si>
  <si>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</si>
  <si>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</si>
  <si>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</si>
  <si>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</si>
  <si>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</si>
  <si>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</si>
  <si>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</si>
  <si>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</si>
  <si>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</si>
  <si>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</si>
  <si>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</si>
  <si>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</si>
  <si>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</si>
  <si>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</si>
  <si>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</si>
  <si>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</si>
  <si>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</si>
  <si>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</si>
  <si>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</si>
  <si>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</si>
  <si>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</si>
  <si>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</si>
  <si>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</si>
  <si>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</si>
  <si>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</si>
  <si>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</si>
  <si>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</si>
  <si>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</si>
  <si>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</si>
  <si>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</si>
  <si>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</si>
  <si>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</si>
  <si>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</si>
  <si>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</si>
  <si>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</si>
  <si>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</si>
  <si>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</si>
  <si>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</si>
  <si>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</si>
  <si>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</si>
  <si>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</si>
  <si>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</si>
  <si>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</si>
  <si>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</si>
  <si>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</si>
  <si>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</si>
  <si>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</si>
  <si>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</si>
  <si>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</si>
  <si>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</si>
  <si>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</si>
  <si>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</si>
  <si>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</si>
  <si>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</si>
  <si>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</si>
  <si>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</si>
  <si>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</si>
  <si>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</si>
  <si>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</si>
  <si>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</si>
  <si>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</si>
  <si>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</si>
  <si>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</si>
  <si>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</si>
  <si>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</si>
  <si>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</si>
  <si>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</si>
  <si>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</si>
  <si>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</si>
  <si>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</si>
  <si>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</si>
  <si>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</si>
  <si>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</si>
  <si>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</si>
  <si>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</si>
  <si>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</si>
  <si>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</si>
  <si>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</si>
  <si>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</si>
  <si>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</si>
  <si>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</si>
  <si>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</si>
  <si>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</si>
  <si>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</si>
  <si>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</si>
  <si>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</si>
  <si>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</si>
  <si>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</si>
  <si>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</si>
  <si>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</si>
  <si>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</si>
  <si>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</si>
  <si>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</si>
  <si>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</si>
  <si>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</si>
  <si>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</si>
  <si>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</si>
  <si>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</si>
  <si>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</si>
  <si>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</si>
  <si>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</si>
  <si>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</si>
  <si>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</si>
  <si>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</si>
  <si>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</si>
  <si>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</si>
  <si>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</si>
  <si>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</si>
  <si>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</si>
  <si>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</si>
  <si>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</si>
  <si>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</si>
  <si>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</si>
  <si>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</si>
  <si>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</si>
  <si>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</si>
  <si>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</si>
  <si>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</si>
  <si>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</si>
  <si>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</si>
  <si>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</si>
  <si>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</si>
  <si>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</si>
  <si>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</si>
  <si>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</si>
  <si>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</si>
  <si>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</si>
  <si>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</si>
  <si>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</si>
  <si>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</si>
  <si>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</si>
  <si>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</si>
  <si>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</si>
  <si>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</si>
  <si>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</si>
  <si>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</si>
  <si>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</si>
  <si>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</si>
  <si>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</si>
  <si>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</si>
  <si>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</si>
  <si>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</si>
  <si>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</si>
  <si>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</si>
  <si>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</si>
  <si>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</si>
  <si>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</si>
  <si>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</si>
  <si>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</si>
  <si>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</si>
  <si>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</si>
  <si>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</si>
  <si>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</si>
  <si>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</si>
  <si>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</si>
  <si>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</si>
  <si>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</si>
  <si>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</si>
  <si>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</si>
  <si>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</si>
  <si>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</si>
  <si>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</si>
  <si>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</si>
  <si>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</si>
  <si>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</si>
  <si>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</si>
  <si>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</si>
  <si>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</si>
  <si>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</si>
  <si>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</si>
  <si>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</si>
  <si>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</si>
  <si>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</si>
  <si>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</si>
  <si>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</si>
  <si>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</si>
  <si>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</si>
  <si>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</si>
  <si>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</si>
  <si>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</si>
  <si>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</si>
  <si>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</si>
  <si>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</si>
  <si>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</si>
  <si>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</si>
  <si>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</si>
  <si>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</si>
  <si>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</si>
  <si>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</si>
  <si>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</si>
  <si>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</si>
  <si>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</si>
  <si>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</si>
  <si>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</si>
  <si>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</si>
  <si>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</si>
  <si>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</si>
  <si>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</si>
  <si>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</si>
  <si>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</si>
  <si>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</si>
  <si>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</si>
  <si>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</si>
  <si>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</si>
  <si>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</si>
  <si>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</si>
  <si>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</si>
  <si>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</si>
  <si>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</si>
  <si>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</si>
  <si>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</si>
  <si>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</si>
  <si>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</si>
  <si>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</si>
  <si>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</si>
  <si>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</si>
  <si>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</si>
  <si>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</si>
  <si>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</si>
  <si>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</si>
  <si>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</si>
  <si>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</si>
  <si>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</si>
  <si>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</si>
  <si>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</si>
  <si>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</si>
  <si>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</si>
  <si>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</si>
  <si>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</si>
  <si>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</si>
  <si>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</si>
  <si>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</si>
  <si>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</si>
  <si>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</si>
  <si>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</si>
  <si>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</si>
  <si>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</si>
  <si>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</si>
  <si>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</si>
  <si>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</si>
  <si>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</si>
  <si>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</si>
  <si>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</si>
  <si>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</si>
  <si>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</si>
  <si>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</si>
  <si>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</si>
  <si>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</si>
  <si>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</si>
  <si>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</si>
  <si>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</si>
  <si>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</si>
  <si>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</si>
  <si>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</si>
  <si>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</si>
  <si>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</si>
  <si>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</si>
  <si>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</si>
  <si>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</si>
  <si>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</si>
  <si>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</si>
  <si>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</si>
  <si>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</si>
  <si>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</si>
  <si>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</si>
  <si>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</si>
  <si>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</si>
  <si>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</si>
  <si>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</si>
  <si>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</si>
  <si>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</si>
  <si>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</si>
  <si>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</si>
  <si>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</si>
  <si>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</si>
  <si>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</si>
  <si>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</si>
  <si>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</si>
  <si>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</si>
  <si>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</si>
  <si>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</si>
  <si>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</si>
  <si>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</si>
  <si>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</si>
  <si>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</si>
  <si>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</si>
  <si>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</si>
  <si>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</si>
  <si>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</si>
  <si>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</si>
  <si>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</si>
  <si>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</si>
  <si>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</si>
  <si>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</si>
  <si>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</si>
  <si>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</si>
  <si>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</si>
  <si>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</si>
  <si>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</si>
  <si>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</si>
  <si>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</si>
  <si>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</si>
  <si>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</si>
  <si>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</si>
  <si>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</si>
  <si>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</si>
  <si>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</si>
  <si>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</si>
  <si>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</si>
  <si>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</si>
  <si>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</si>
  <si>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</si>
  <si>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</si>
  <si>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</si>
  <si>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</si>
  <si>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</si>
  <si>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</si>
  <si>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</si>
  <si>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</si>
  <si>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</si>
  <si>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</si>
  <si>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</si>
  <si>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</si>
  <si>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</si>
  <si>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</si>
  <si>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</si>
  <si>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</si>
  <si>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</si>
  <si>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</si>
  <si>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</si>
  <si>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</si>
  <si>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</si>
  <si>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</si>
  <si>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</si>
  <si>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</si>
  <si>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</si>
  <si>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</si>
  <si>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</si>
  <si>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</si>
  <si>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</si>
  <si>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</si>
  <si>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</si>
  <si>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</si>
  <si>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</si>
  <si>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</si>
  <si>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</si>
  <si>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</si>
  <si>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</si>
  <si>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</si>
  <si>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</si>
  <si>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</si>
  <si>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</si>
  <si>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</si>
  <si>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</si>
  <si>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</si>
  <si>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</si>
  <si>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</si>
  <si>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</si>
  <si>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</si>
  <si>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</si>
  <si>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</si>
  <si>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</si>
  <si>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</si>
  <si>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</si>
  <si>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</si>
  <si>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</si>
  <si>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</si>
  <si>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</si>
  <si>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</si>
  <si>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</si>
  <si>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</si>
  <si>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</si>
  <si>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</si>
  <si>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</si>
  <si>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</si>
  <si>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</si>
  <si>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</si>
  <si>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</si>
  <si>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</si>
  <si>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</si>
  <si>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</si>
  <si>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</si>
  <si>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</si>
  <si>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</si>
  <si>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</si>
  <si>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</si>
  <si>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</si>
  <si>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</si>
  <si>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</si>
  <si>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</si>
  <si>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</si>
  <si>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</si>
  <si>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</si>
  <si>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</si>
  <si>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</si>
  <si>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</si>
  <si>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</si>
  <si>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</si>
  <si>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</si>
  <si>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</si>
  <si>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</si>
  <si>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</si>
  <si>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</si>
  <si>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</si>
  <si>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</si>
  <si>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</si>
  <si>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</si>
  <si>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</si>
  <si>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</si>
  <si>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</si>
  <si>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</si>
  <si>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</si>
  <si>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</si>
  <si>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</si>
  <si>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</si>
  <si>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</si>
  <si>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</si>
  <si>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</si>
  <si>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</si>
  <si>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</si>
  <si>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</si>
  <si>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</si>
  <si>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</si>
  <si>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</si>
  <si>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</si>
  <si>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</si>
  <si>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</si>
  <si>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</si>
  <si>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</si>
  <si>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</si>
  <si>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</si>
  <si>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</si>
  <si>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</si>
  <si>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</si>
  <si>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</si>
  <si>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</si>
  <si>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</si>
  <si>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</si>
  <si>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</si>
  <si>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</si>
  <si>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</si>
  <si>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</si>
  <si>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</si>
  <si>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</si>
  <si>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</si>
  <si>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</si>
  <si>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</si>
  <si>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</si>
  <si>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</si>
  <si>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</si>
  <si>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</si>
  <si>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</si>
  <si>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</si>
  <si>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</si>
  <si>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</si>
  <si>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</si>
  <si>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</si>
  <si>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</si>
  <si>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</si>
  <si>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</si>
  <si>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</si>
  <si>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</si>
  <si>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</si>
  <si>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</si>
  <si>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</si>
  <si>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</si>
  <si>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</si>
  <si>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</si>
  <si>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</si>
  <si>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</si>
  <si>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</si>
  <si>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</si>
  <si>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</si>
  <si>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</si>
  <si>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</si>
  <si>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</si>
  <si>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</si>
  <si>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</si>
  <si>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</si>
  <si>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</si>
  <si>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</si>
  <si>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</si>
  <si>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</si>
  <si>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</si>
  <si>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</si>
  <si>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</si>
  <si>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</si>
  <si>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</si>
  <si>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</si>
  <si>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</si>
  <si>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</si>
  <si>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</si>
  <si>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</si>
  <si>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</si>
  <si>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</si>
  <si>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</si>
  <si>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</si>
  <si>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</si>
  <si>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</si>
  <si>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</si>
  <si>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</si>
  <si>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</si>
  <si>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</si>
  <si>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</si>
  <si>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</si>
  <si>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</si>
  <si>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</si>
  <si>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</si>
  <si>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</si>
  <si>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</si>
  <si>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</si>
  <si>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</si>
  <si>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</si>
  <si>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</si>
  <si>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</si>
  <si>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</si>
  <si>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</si>
  <si>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</si>
  <si>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</si>
  <si>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</si>
  <si>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</si>
  <si>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</si>
  <si>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</si>
  <si>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</si>
  <si>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</si>
  <si>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</si>
  <si>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</si>
  <si>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</si>
  <si>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</si>
  <si>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</si>
  <si>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</si>
  <si>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</si>
  <si>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</si>
  <si>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</si>
  <si>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</si>
  <si>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</si>
  <si>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</si>
  <si>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</si>
  <si>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</si>
  <si>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</si>
  <si>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</si>
  <si>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</si>
  <si>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</si>
  <si>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</si>
  <si>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</si>
  <si>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</si>
  <si>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</si>
  <si>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</si>
  <si>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</si>
  <si>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</si>
  <si>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</si>
  <si>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</si>
  <si>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</si>
  <si>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</si>
  <si>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</si>
  <si>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</si>
  <si>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</si>
  <si>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</si>
  <si>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</si>
  <si>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</si>
  <si>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</si>
  <si>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</si>
  <si>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</si>
  <si>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</si>
  <si>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</si>
  <si>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</si>
  <si>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</si>
  <si>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</si>
  <si>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</si>
  <si>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</si>
  <si>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</si>
  <si>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</si>
  <si>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</si>
  <si>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</si>
  <si>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</si>
  <si>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</si>
  <si>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</si>
  <si>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</si>
  <si>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</si>
  <si>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</si>
  <si>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</si>
  <si>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</si>
  <si>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</si>
  <si>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</si>
  <si>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</si>
  <si>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</si>
  <si>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</si>
  <si>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</si>
  <si>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</si>
  <si>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</si>
  <si>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</si>
  <si>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</si>
  <si>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</si>
  <si>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</si>
  <si>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</si>
  <si>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</si>
  <si>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</si>
  <si>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</si>
  <si>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</si>
  <si>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</si>
  <si>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</si>
  <si>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</si>
  <si>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</si>
  <si>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</si>
  <si>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</si>
  <si>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</si>
  <si>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</si>
  <si>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</si>
  <si>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</si>
  <si>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</si>
  <si>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</si>
  <si>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</si>
  <si>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</si>
  <si>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</si>
  <si>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</si>
  <si>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</si>
  <si>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</si>
  <si>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</si>
  <si>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</si>
  <si>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</si>
  <si>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</si>
  <si>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</si>
  <si>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</si>
  <si>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</si>
  <si>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</si>
  <si>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</si>
  <si>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</si>
  <si>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</si>
  <si>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</si>
  <si>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</si>
  <si>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</si>
  <si>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</si>
  <si>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</si>
  <si>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</si>
  <si>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</si>
  <si>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</si>
  <si>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</si>
  <si>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</si>
  <si>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</si>
  <si>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</si>
  <si>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</si>
  <si>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</si>
  <si>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</si>
  <si>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</si>
  <si>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</si>
  <si>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</si>
  <si>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</si>
  <si>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</si>
  <si>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</si>
  <si>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</si>
  <si>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</si>
  <si>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</si>
  <si>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</si>
  <si>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</si>
  <si>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</si>
  <si>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</si>
  <si>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</si>
  <si>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</si>
  <si>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</si>
  <si>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</si>
  <si>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</si>
  <si>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</si>
  <si>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</si>
  <si>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</si>
  <si>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</si>
  <si>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</si>
  <si>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</si>
  <si>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</si>
  <si>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</si>
  <si>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</si>
  <si>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</si>
  <si>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</si>
  <si>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</si>
  <si>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</si>
  <si>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</si>
  <si>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</si>
  <si>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</si>
  <si>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</si>
  <si>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</si>
  <si>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</si>
  <si>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</si>
  <si>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</si>
  <si>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</si>
  <si>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</si>
  <si>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</si>
  <si>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</si>
  <si>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</si>
  <si>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</si>
  <si>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</si>
  <si>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</si>
  <si>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</si>
  <si>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</si>
  <si>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</si>
  <si>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</si>
  <si>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</si>
  <si>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</si>
  <si>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</si>
  <si>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</si>
  <si>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</si>
  <si>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</si>
  <si>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</si>
  <si>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</si>
  <si>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</si>
  <si>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</si>
  <si>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</si>
  <si>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</si>
  <si>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</si>
  <si>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</si>
  <si>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</si>
  <si>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</si>
  <si>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</si>
  <si>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</si>
  <si>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</si>
  <si>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</si>
  <si>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</si>
  <si>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</si>
  <si>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</si>
  <si>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</si>
  <si>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</si>
  <si>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</si>
  <si>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</si>
  <si>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</si>
  <si>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</si>
  <si>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</si>
  <si>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</si>
  <si>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</si>
  <si>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</si>
  <si>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</si>
  <si>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</si>
  <si>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</si>
  <si>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</si>
  <si>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</si>
  <si>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</si>
  <si>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</si>
  <si>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</si>
  <si>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</si>
  <si>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</si>
  <si>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</si>
  <si>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</si>
  <si>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</si>
  <si>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</si>
  <si>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</si>
  <si>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</si>
  <si>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</si>
  <si>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</si>
  <si>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</si>
  <si>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</si>
  <si>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</si>
  <si>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</si>
  <si>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</si>
  <si>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</si>
  <si>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</si>
  <si>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</si>
  <si>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</si>
  <si>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</si>
  <si>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</si>
  <si>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</si>
  <si>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</si>
  <si>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</si>
  <si>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</si>
  <si>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</si>
  <si>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</si>
  <si>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</si>
  <si>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</si>
  <si>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</si>
  <si>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</si>
  <si>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</si>
  <si>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</si>
  <si>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</si>
  <si>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</si>
  <si>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</si>
  <si>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</si>
  <si>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</si>
  <si>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</si>
  <si>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</si>
  <si>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</si>
  <si>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</si>
  <si>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</si>
  <si>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</si>
  <si>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</si>
  <si>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</si>
  <si>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</si>
  <si>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</si>
  <si>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</si>
  <si>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</si>
  <si>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</si>
  <si>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</si>
  <si>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</si>
  <si>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</si>
  <si>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</si>
  <si>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</si>
  <si>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</si>
  <si>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</si>
  <si>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</si>
  <si>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</si>
  <si>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</si>
  <si>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</si>
  <si>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</si>
  <si>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</si>
  <si>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</si>
  <si>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</si>
  <si>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</si>
  <si>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</si>
  <si>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</si>
  <si>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</si>
  <si>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</si>
  <si>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</si>
  <si>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</si>
  <si>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</si>
  <si>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</si>
  <si>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</si>
  <si>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</si>
  <si>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</si>
  <si>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</si>
  <si>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</si>
  <si>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</si>
  <si>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</si>
  <si>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</si>
  <si>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</si>
  <si>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</si>
  <si>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</si>
  <si>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</si>
  <si>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</si>
  <si>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</si>
  <si>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</si>
  <si>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</si>
  <si>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</si>
  <si>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</si>
  <si>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</si>
  <si>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</si>
  <si>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</si>
  <si>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</si>
  <si>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</si>
  <si>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</si>
  <si>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</si>
  <si>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</si>
  <si>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</si>
  <si>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</si>
  <si>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</si>
  <si>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</si>
  <si>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</si>
  <si>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</si>
  <si>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</si>
  <si>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</si>
  <si>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</si>
  <si>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</si>
  <si>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</si>
  <si>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</si>
  <si>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</si>
  <si>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</si>
  <si>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</si>
  <si>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</si>
  <si>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</si>
  <si>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</si>
  <si>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</si>
  <si>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</si>
  <si>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</si>
  <si>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</si>
  <si>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</si>
  <si>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</si>
  <si>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</si>
  <si>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</si>
  <si>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</si>
  <si>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</si>
  <si>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</si>
  <si>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</si>
  <si>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</si>
  <si>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</si>
  <si>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</si>
  <si>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</si>
  <si>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</si>
  <si>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</si>
  <si>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</si>
  <si>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</si>
  <si>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</si>
  <si>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</si>
  <si>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</si>
  <si>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</si>
  <si>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</si>
  <si>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</si>
  <si>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</si>
  <si>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</si>
  <si>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</si>
  <si>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</si>
  <si>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</si>
  <si>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</si>
  <si>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</si>
  <si>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</si>
  <si>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</si>
  <si>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</si>
  <si>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</si>
  <si>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</si>
  <si>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</si>
  <si>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</si>
  <si>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</si>
  <si>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</si>
  <si>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</si>
  <si>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</si>
  <si>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</si>
  <si>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</si>
  <si>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</si>
  <si>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</si>
  <si>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</si>
  <si>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</si>
  <si>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</si>
  <si>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</si>
  <si>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</si>
  <si>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</si>
  <si>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</si>
  <si>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</si>
  <si>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</si>
  <si>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</si>
  <si>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</si>
  <si>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</si>
  <si>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</si>
  <si>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</si>
  <si>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</si>
  <si>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</si>
  <si>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</si>
  <si>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</si>
  <si>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</si>
  <si>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</si>
  <si>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</si>
  <si>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</si>
  <si>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</si>
  <si>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</si>
  <si>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</si>
  <si>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</si>
  <si>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</si>
  <si>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</si>
  <si>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</si>
  <si>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</si>
  <si>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</si>
  <si>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</si>
  <si>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</si>
  <si>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</si>
  <si>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</si>
  <si>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</si>
  <si>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</si>
  <si>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</si>
  <si>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</si>
  <si>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</si>
  <si>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</si>
  <si>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</si>
  <si>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</si>
  <si>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</si>
  <si>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</si>
  <si>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</si>
  <si>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</si>
  <si>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</si>
  <si>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</si>
  <si>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</si>
  <si>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</si>
  <si>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</si>
  <si>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</si>
  <si>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</si>
  <si>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</si>
  <si>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</si>
  <si>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</si>
  <si>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</si>
  <si>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</si>
  <si>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</si>
  <si>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</si>
  <si>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</si>
  <si>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</si>
  <si>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</si>
  <si>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</si>
  <si>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</si>
  <si>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</si>
  <si>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</si>
  <si>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</si>
  <si>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</si>
  <si>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</si>
  <si>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</si>
  <si>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</si>
  <si>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</si>
  <si>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</si>
  <si>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</si>
  <si>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</si>
  <si>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</si>
  <si>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</si>
  <si>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</si>
  <si>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</si>
  <si>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</si>
  <si>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</si>
  <si>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</si>
  <si>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</si>
  <si>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</si>
  <si>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</si>
  <si>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</si>
  <si>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</si>
  <si>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</si>
  <si>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</si>
  <si>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</si>
  <si>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</si>
  <si>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</si>
  <si>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</si>
  <si>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</si>
  <si>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</si>
  <si>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</si>
  <si>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</si>
  <si>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</si>
  <si>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</si>
  <si>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</si>
  <si>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</si>
  <si>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</si>
  <si>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</si>
  <si>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</si>
  <si>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</si>
  <si>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</si>
  <si>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</si>
  <si>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</si>
  <si>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</si>
  <si>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</si>
  <si>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</si>
  <si>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</si>
  <si>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</si>
  <si>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</si>
  <si>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</si>
  <si>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</si>
  <si>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</si>
  <si>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</si>
  <si>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</si>
  <si>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</si>
  <si>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</si>
  <si>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</si>
  <si>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</si>
  <si>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</si>
  <si>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</si>
  <si>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</si>
  <si>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</si>
  <si>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</si>
  <si>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</si>
  <si>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</si>
  <si>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</si>
  <si>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</si>
  <si>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</si>
  <si>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</si>
  <si>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</si>
  <si>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</si>
  <si>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</si>
  <si>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</si>
  <si>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</si>
  <si>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</si>
  <si>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</si>
  <si>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</si>
  <si>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</si>
  <si>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</si>
  <si>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</si>
  <si>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</si>
  <si>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</si>
  <si>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</si>
  <si>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</si>
  <si>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</si>
  <si>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</si>
  <si>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</si>
  <si>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</si>
  <si>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</si>
  <si>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</si>
  <si>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</si>
  <si>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</si>
  <si>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</si>
  <si>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</si>
  <si>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</si>
  <si>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</si>
  <si>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</si>
  <si>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</si>
  <si>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</si>
  <si>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</si>
  <si>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</si>
  <si>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</si>
  <si>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</si>
  <si>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</si>
  <si>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</si>
  <si>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</si>
  <si>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</si>
  <si>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</si>
  <si>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</si>
  <si>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</si>
  <si>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</si>
  <si>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</si>
  <si>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</si>
  <si>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</si>
  <si>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</si>
  <si>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</si>
  <si>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</si>
  <si>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</si>
  <si>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</si>
  <si>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</si>
  <si>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</si>
  <si>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</si>
  <si>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</si>
  <si>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</si>
  <si>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</si>
  <si>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</si>
  <si>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</si>
  <si>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</si>
  <si>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</si>
  <si>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</si>
  <si>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</si>
  <si>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</si>
  <si>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</si>
  <si>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</si>
  <si>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</si>
  <si>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</si>
  <si>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</si>
  <si>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</si>
  <si>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</si>
  <si>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</si>
  <si>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</si>
  <si>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</si>
  <si>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</si>
  <si>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</si>
  <si>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</si>
  <si>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</si>
  <si>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</si>
  <si>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</si>
  <si>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</si>
  <si>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</si>
  <si>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</si>
  <si>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</si>
  <si>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</si>
  <si>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</si>
  <si>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</si>
  <si>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</si>
  <si>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</si>
  <si>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</si>
  <si>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</si>
  <si>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</si>
  <si>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</si>
  <si>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</si>
  <si>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</si>
  <si>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</si>
  <si>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</si>
  <si>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</si>
  <si>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</si>
  <si>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</si>
  <si>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</si>
  <si>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</si>
  <si>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</si>
  <si>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</si>
  <si>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</si>
  <si>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</si>
  <si>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</si>
  <si>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</si>
  <si>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</si>
  <si>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</si>
  <si>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</si>
  <si>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</si>
  <si>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</si>
  <si>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</si>
  <si>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</si>
  <si>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</si>
  <si>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</si>
  <si>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</si>
  <si>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</si>
  <si>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</si>
  <si>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</si>
  <si>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</si>
  <si>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</si>
  <si>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</si>
  <si>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</si>
  <si>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</si>
  <si>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</si>
  <si>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</si>
  <si>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</si>
  <si>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</si>
  <si>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</si>
  <si>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</si>
  <si>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</si>
  <si>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</si>
  <si>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</si>
  <si>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</si>
  <si>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</si>
  <si>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</si>
  <si>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</si>
  <si>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</si>
  <si>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</si>
  <si>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</si>
  <si>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</si>
  <si>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</si>
  <si>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</si>
  <si>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</si>
  <si>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</si>
  <si>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</si>
  <si>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</si>
  <si>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</si>
  <si>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</si>
  <si>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</si>
  <si>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</si>
  <si>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</si>
  <si>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</si>
  <si>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</si>
  <si>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</si>
  <si>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</si>
  <si>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</si>
  <si>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</si>
  <si>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</si>
  <si>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</si>
  <si>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</si>
  <si>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</si>
  <si>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</si>
  <si>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</si>
  <si>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</si>
  <si>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</si>
  <si>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</si>
  <si>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</si>
  <si>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</si>
  <si>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</si>
  <si>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</si>
  <si>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</si>
  <si>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</si>
  <si>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</si>
  <si>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</si>
  <si>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</si>
  <si>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</si>
  <si>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</si>
  <si>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</si>
  <si>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</si>
  <si>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</si>
  <si>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</si>
  <si>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</si>
  <si>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</si>
  <si>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</si>
  <si>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</si>
  <si>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</si>
  <si>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</si>
  <si>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</si>
  <si>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</si>
  <si>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</si>
  <si>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</si>
  <si>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</si>
  <si>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</si>
  <si>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</si>
  <si>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</si>
  <si>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</si>
  <si>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</si>
  <si>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</si>
  <si>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</si>
  <si>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</si>
  <si>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</si>
  <si>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</si>
  <si>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</si>
  <si>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</si>
  <si>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</si>
  <si>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</si>
  <si>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</si>
  <si>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</si>
  <si>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</si>
  <si>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</si>
  <si>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</si>
  <si>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</si>
  <si>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</si>
  <si>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</si>
  <si>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</si>
  <si>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</si>
  <si>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</si>
  <si>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</si>
  <si>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</si>
  <si>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</si>
  <si>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</si>
  <si>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</si>
  <si>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</si>
  <si>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</si>
  <si>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</si>
  <si>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</si>
  <si>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</si>
  <si>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</si>
  <si>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</si>
  <si>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</si>
  <si>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</si>
  <si>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</si>
  <si>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</si>
  <si>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</si>
  <si>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</si>
  <si>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</si>
  <si>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</si>
  <si>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</si>
  <si>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</si>
  <si>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</si>
  <si>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</si>
  <si>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</si>
  <si>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</si>
  <si>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</si>
  <si>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</si>
  <si>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</si>
  <si>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</si>
  <si>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</si>
  <si>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</si>
  <si>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</si>
  <si>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</si>
  <si>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</si>
  <si>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</si>
  <si>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</si>
  <si>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</si>
  <si>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</si>
  <si>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</si>
  <si>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</si>
  <si>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</si>
  <si>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</si>
  <si>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</si>
  <si>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</si>
  <si>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</si>
  <si>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</si>
  <si>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</si>
  <si>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</si>
  <si>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</si>
  <si>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</si>
  <si>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</si>
  <si>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</si>
  <si>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</si>
  <si>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</si>
  <si>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</si>
  <si>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</si>
  <si>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</si>
  <si>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</si>
  <si>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</si>
  <si>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</si>
  <si>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</si>
  <si>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</si>
  <si>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</si>
  <si>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</si>
  <si>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</si>
  <si>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</si>
  <si>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</si>
  <si>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</si>
  <si>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</si>
  <si>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</si>
  <si>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</si>
  <si>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</si>
  <si>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</si>
  <si>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</si>
  <si>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</si>
  <si>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</si>
  <si>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</si>
  <si>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</si>
  <si>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</si>
  <si>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</si>
  <si>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</si>
  <si>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</si>
  <si>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</si>
  <si>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</si>
  <si>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</si>
  <si>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</si>
  <si>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</si>
  <si>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</si>
  <si>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</si>
  <si>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</si>
  <si>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</si>
  <si>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</si>
  <si>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</si>
  <si>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</si>
  <si>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</si>
  <si>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</si>
  <si>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</si>
  <si>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</si>
  <si>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</si>
  <si>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</si>
  <si>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</si>
  <si>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</si>
  <si>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</si>
  <si>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</si>
  <si>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</si>
  <si>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</si>
  <si>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</si>
  <si>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</si>
  <si>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</si>
  <si>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</si>
  <si>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</si>
  <si>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</si>
  <si>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</si>
  <si>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</si>
  <si>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</si>
  <si>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</si>
  <si>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</si>
  <si>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</si>
  <si>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</si>
  <si>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</si>
  <si>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</si>
  <si>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</si>
  <si>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</si>
  <si>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</si>
  <si>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</si>
  <si>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</si>
  <si>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</si>
  <si>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</si>
  <si>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</si>
  <si>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</si>
  <si>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</si>
  <si>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</si>
  <si>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</si>
  <si>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</si>
  <si>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</si>
  <si>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</si>
  <si>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</si>
  <si>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</si>
  <si>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</si>
  <si>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</si>
  <si>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</si>
  <si>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</si>
  <si>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</si>
  <si>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</si>
  <si>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</si>
  <si>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</si>
  <si>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</si>
  <si>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</si>
  <si>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</si>
  <si>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</si>
  <si>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</si>
  <si>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</si>
  <si>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</si>
  <si>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</si>
  <si>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</si>
  <si>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</si>
  <si>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</si>
  <si>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</si>
  <si>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</si>
  <si>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</si>
  <si>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</si>
  <si>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</si>
  <si>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</si>
  <si>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</si>
  <si>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</si>
  <si>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</si>
  <si>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</si>
  <si>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</si>
  <si>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</si>
  <si>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</si>
  <si>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</si>
  <si>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</si>
  <si>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</si>
  <si>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</si>
  <si>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</si>
  <si>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</si>
  <si>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</si>
  <si>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</si>
  <si>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</si>
  <si>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</si>
  <si>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</si>
  <si>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</si>
  <si>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</si>
  <si>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</si>
  <si>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</si>
  <si>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</si>
  <si>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</si>
  <si>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</si>
  <si>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</si>
  <si>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</si>
  <si>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</si>
  <si>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</si>
  <si>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</si>
  <si>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</si>
  <si>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</si>
  <si>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</si>
  <si>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</si>
  <si>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</si>
  <si>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</si>
  <si>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</si>
  <si>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</si>
  <si>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</si>
  <si>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</si>
  <si>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</si>
  <si>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</si>
  <si>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</si>
  <si>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</si>
  <si>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</si>
  <si>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</si>
  <si>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</si>
  <si>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</si>
  <si>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</si>
  <si>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</si>
  <si>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</si>
  <si>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</si>
  <si>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</si>
  <si>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</si>
  <si>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</si>
  <si>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</si>
  <si>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</si>
  <si>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</si>
  <si>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</si>
  <si>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</si>
  <si>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</si>
  <si>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</si>
  <si>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</si>
  <si>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</si>
  <si>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</si>
  <si>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</si>
  <si>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</si>
  <si>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</si>
  <si>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</si>
  <si>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</si>
  <si>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</si>
  <si>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</si>
  <si>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</si>
  <si>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</si>
  <si>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</si>
  <si>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</si>
  <si>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</si>
  <si>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</si>
  <si>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</si>
  <si>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</si>
  <si>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</si>
  <si>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</si>
  <si>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</si>
  <si>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</si>
  <si>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</si>
  <si>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</si>
  <si>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</si>
  <si>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</si>
  <si>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</si>
  <si>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</si>
  <si>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</si>
  <si>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</si>
  <si>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</si>
  <si>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</si>
  <si>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</si>
  <si>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</si>
  <si>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</si>
  <si>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</si>
  <si>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</si>
  <si>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</si>
  <si>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</si>
  <si>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</si>
  <si>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</si>
  <si>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</si>
  <si>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</si>
  <si>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</si>
  <si>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</si>
  <si>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</si>
  <si>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</si>
  <si>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</si>
  <si>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</si>
  <si>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</si>
  <si>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</si>
  <si>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</si>
  <si>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</si>
  <si>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</si>
  <si>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</si>
  <si>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</si>
  <si>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</si>
  <si>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</si>
  <si>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</si>
  <si>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</si>
  <si>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</si>
  <si>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</si>
  <si>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</si>
  <si>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</si>
  <si>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</si>
  <si>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</si>
  <si>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</si>
  <si>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</si>
  <si>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</si>
  <si>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</si>
  <si>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</si>
  <si>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</si>
  <si>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</si>
  <si>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</si>
  <si>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</si>
  <si>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</si>
  <si>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</si>
  <si>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</si>
  <si>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</si>
  <si>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</si>
  <si>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</si>
  <si>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</si>
  <si>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</si>
  <si>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</si>
  <si>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</si>
  <si>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</si>
  <si>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</si>
  <si>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</si>
  <si>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</si>
  <si>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</si>
  <si>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</si>
  <si>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</si>
  <si>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</si>
  <si>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</si>
  <si>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</si>
  <si>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</si>
  <si>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</si>
  <si>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</si>
  <si>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</si>
  <si>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</si>
  <si>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</si>
  <si>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</si>
  <si>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</si>
  <si>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</si>
  <si>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</si>
  <si>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</si>
  <si>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</si>
  <si>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</si>
  <si>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</si>
  <si>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</si>
  <si>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</si>
  <si>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</si>
  <si>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</si>
  <si>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</si>
  <si>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</si>
  <si>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</si>
  <si>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</si>
  <si>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</si>
  <si>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</si>
  <si>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</si>
  <si>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</si>
  <si>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</si>
  <si>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</si>
  <si>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</si>
  <si>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</si>
  <si>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</si>
  <si>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</si>
  <si>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</si>
  <si>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</si>
  <si>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</si>
  <si>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</si>
  <si>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</si>
  <si>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</si>
  <si>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</si>
  <si>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</si>
  <si>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</si>
  <si>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</si>
  <si>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</si>
  <si>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</si>
  <si>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</si>
  <si>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</si>
  <si>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</si>
  <si>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</si>
  <si>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</si>
  <si>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</si>
  <si>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</si>
  <si>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</si>
  <si>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</si>
  <si>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</si>
  <si>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</si>
  <si>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</si>
  <si>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</si>
  <si>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</si>
  <si>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</si>
  <si>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</si>
  <si>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</si>
  <si>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</si>
  <si>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</si>
  <si>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</si>
  <si>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</si>
  <si>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</si>
  <si>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</si>
  <si>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</si>
  <si>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</si>
  <si>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</si>
  <si>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</si>
  <si>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</si>
  <si>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</si>
  <si>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</si>
  <si>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</si>
  <si>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</si>
  <si>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</si>
  <si>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</si>
  <si>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</si>
  <si>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</si>
  <si>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</si>
  <si>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</si>
  <si>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</si>
  <si>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</si>
  <si>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</si>
  <si>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</si>
  <si>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</si>
  <si>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</si>
  <si>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</si>
  <si>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</si>
  <si>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</si>
  <si>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</si>
  <si>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</si>
  <si>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</si>
  <si>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</si>
  <si>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</si>
  <si>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</si>
  <si>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</si>
  <si>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</si>
  <si>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</si>
  <si>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</si>
  <si>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</si>
  <si>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</si>
  <si>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</si>
  <si>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</si>
  <si>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</si>
  <si>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</si>
  <si>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</si>
  <si>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</si>
  <si>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</si>
  <si>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</si>
  <si>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</si>
  <si>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</si>
  <si>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</si>
  <si>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</si>
  <si>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</si>
  <si>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</si>
  <si>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</si>
  <si>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</si>
  <si>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</si>
  <si>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</si>
  <si>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</si>
  <si>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</si>
  <si>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</si>
  <si>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</si>
  <si>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</si>
  <si>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</si>
  <si>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</si>
  <si>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</si>
  <si>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</si>
  <si>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</si>
  <si>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</si>
  <si>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</si>
  <si>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</si>
  <si>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</si>
  <si>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</si>
  <si>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</si>
  <si>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</si>
  <si>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</si>
  <si>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</si>
  <si>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</si>
  <si>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</si>
  <si>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</si>
  <si>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</si>
  <si>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</si>
  <si>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</si>
  <si>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</si>
  <si>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</si>
  <si>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</si>
  <si>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</si>
  <si>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</si>
  <si>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</si>
  <si>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</si>
  <si>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</si>
  <si>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</si>
  <si>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</si>
  <si>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</si>
  <si>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</si>
  <si>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</si>
  <si>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</si>
  <si>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</si>
  <si>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</si>
  <si>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</si>
  <si>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</si>
  <si>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</si>
  <si>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</si>
  <si>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</si>
  <si>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</si>
  <si>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</si>
  <si>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</si>
  <si>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</si>
  <si>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</si>
  <si>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</si>
  <si>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</si>
  <si>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</si>
  <si>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</si>
  <si>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</si>
  <si>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</si>
  <si>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</si>
  <si>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</si>
  <si>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</si>
  <si>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</si>
  <si>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</si>
  <si>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</si>
  <si>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</si>
  <si>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</si>
  <si>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</si>
  <si>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</si>
  <si>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</si>
  <si>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</si>
  <si>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</si>
  <si>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</si>
  <si>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</si>
  <si>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</si>
  <si>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</si>
  <si>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</si>
  <si>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</si>
  <si>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</si>
  <si>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</si>
  <si>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</si>
  <si>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</si>
  <si>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</si>
  <si>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</si>
  <si>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</si>
  <si>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</si>
  <si>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</si>
  <si>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</si>
  <si>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</si>
  <si>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</si>
  <si>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</si>
  <si>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</si>
  <si>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</si>
  <si>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</si>
  <si>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</si>
  <si>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</si>
  <si>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</si>
  <si>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</si>
  <si>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</si>
  <si>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</si>
  <si>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</si>
  <si>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</si>
  <si>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</si>
  <si>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</si>
  <si>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</si>
  <si>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</si>
  <si>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</si>
  <si>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</si>
  <si>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</si>
  <si>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</si>
  <si>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</si>
  <si>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</si>
  <si>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</si>
  <si>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</si>
  <si>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</si>
  <si>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</si>
  <si>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</si>
  <si>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</si>
  <si>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</si>
  <si>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</si>
  <si>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</si>
  <si>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</si>
  <si>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</si>
  <si>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</si>
  <si>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</si>
  <si>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</si>
  <si>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</si>
  <si>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</si>
  <si>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</si>
  <si>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</si>
  <si>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</si>
  <si>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</si>
  <si>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</si>
  <si>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</si>
  <si>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</si>
  <si>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</si>
  <si>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</si>
  <si>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</si>
  <si>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</si>
  <si>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</si>
  <si>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</si>
  <si>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</si>
  <si>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</si>
  <si>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</si>
  <si>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</si>
  <si>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</si>
  <si>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</si>
  <si>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</si>
  <si>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</si>
  <si>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</si>
  <si>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</si>
  <si>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</si>
  <si>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</si>
  <si>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</si>
  <si>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</si>
  <si>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</si>
  <si>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</si>
  <si>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</si>
  <si>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</si>
  <si>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</si>
  <si>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</si>
  <si>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</si>
  <si>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</si>
  <si>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</si>
  <si>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</si>
  <si>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</si>
  <si>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</si>
  <si>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</si>
  <si>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</si>
  <si>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</si>
  <si>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</si>
  <si>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</si>
  <si>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</si>
  <si>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</si>
  <si>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</si>
  <si>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</si>
  <si>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</si>
  <si>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</si>
  <si>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</si>
  <si>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</si>
  <si>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</si>
  <si>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</si>
  <si>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</si>
  <si>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</si>
  <si>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</si>
  <si>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</si>
  <si>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</si>
  <si>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</si>
  <si>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</si>
  <si>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</si>
  <si>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</si>
  <si>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</si>
  <si>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</si>
  <si>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</si>
  <si>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</si>
  <si>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</si>
  <si>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</si>
  <si>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</si>
  <si>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</si>
  <si>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</si>
  <si>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</si>
  <si>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</si>
  <si>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</si>
  <si>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</si>
  <si>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</si>
  <si>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</si>
  <si>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</si>
  <si>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</si>
  <si>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</si>
  <si>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</si>
  <si>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</si>
  <si>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</si>
  <si>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</si>
  <si>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</si>
  <si>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</si>
  <si>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</si>
  <si>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</si>
  <si>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</si>
  <si>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</si>
  <si>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</si>
  <si>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</si>
  <si>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</si>
  <si>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</si>
  <si>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</si>
  <si>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</si>
  <si>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</si>
  <si>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</si>
  <si>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</si>
  <si>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</si>
  <si>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</si>
  <si>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</si>
  <si>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</si>
  <si>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</si>
  <si>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</si>
  <si>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</si>
  <si>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</si>
  <si>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</si>
  <si>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</si>
  <si>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</si>
  <si>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</si>
  <si>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</si>
  <si>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</si>
  <si>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</si>
  <si>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</si>
  <si>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</si>
  <si>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</si>
  <si>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</si>
  <si>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</si>
  <si>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</si>
  <si>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</si>
  <si>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</si>
  <si>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</si>
  <si>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</si>
  <si>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</si>
  <si>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</si>
  <si>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</si>
  <si>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</si>
  <si>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</si>
  <si>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</si>
  <si>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</si>
  <si>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</si>
  <si>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</si>
  <si>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</si>
  <si>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</si>
  <si>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</si>
  <si>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</si>
  <si>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</si>
  <si>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</si>
  <si>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</si>
  <si>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</si>
  <si>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</si>
  <si>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</si>
  <si>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</si>
  <si>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</si>
  <si>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</si>
  <si>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</si>
  <si>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</si>
  <si>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</si>
  <si>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</si>
  <si>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</si>
  <si>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</si>
  <si>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</si>
  <si>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</si>
  <si>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</si>
  <si>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</si>
  <si>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</si>
  <si>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</si>
  <si>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</si>
  <si>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</si>
  <si>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</si>
  <si>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</si>
  <si>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</si>
  <si>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</si>
  <si>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</si>
  <si>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</si>
  <si>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</si>
  <si>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</si>
  <si>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</si>
  <si>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</si>
  <si>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</si>
  <si>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</si>
  <si>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</si>
  <si>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</si>
  <si>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</si>
  <si>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</si>
  <si>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</si>
  <si>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</si>
  <si>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</si>
  <si>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</si>
  <si>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</si>
  <si>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</si>
  <si>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</si>
  <si>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</si>
  <si>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</si>
  <si>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</si>
  <si>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</si>
  <si>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</si>
  <si>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</si>
  <si>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</si>
  <si>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</si>
  <si>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</si>
  <si>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</si>
  <si>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</si>
  <si>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</si>
  <si>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</si>
  <si>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</si>
  <si>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</si>
  <si>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</si>
  <si>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</si>
  <si>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</si>
  <si>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</si>
  <si>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</si>
  <si>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</si>
  <si>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</si>
  <si>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</si>
  <si>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</si>
  <si>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</si>
  <si>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</si>
  <si>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</si>
  <si>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</si>
  <si>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</si>
  <si>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</si>
  <si>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</si>
  <si>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</si>
  <si>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</si>
  <si>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</si>
  <si>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</si>
  <si>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</si>
  <si>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</si>
  <si>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</si>
  <si>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</si>
  <si>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</si>
  <si>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</si>
  <si>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</si>
  <si>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</si>
  <si>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</si>
  <si>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</si>
  <si>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</si>
  <si>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</si>
  <si>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</si>
  <si>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</si>
  <si>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</si>
  <si>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</si>
  <si>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</si>
  <si>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</si>
  <si>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</si>
  <si>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</si>
  <si>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</si>
  <si>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</si>
  <si>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</si>
  <si>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</si>
  <si>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</si>
  <si>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</si>
  <si>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</si>
  <si>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</si>
  <si>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</si>
  <si>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</si>
  <si>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</si>
  <si>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</si>
  <si>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</si>
  <si>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</si>
  <si>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</si>
  <si>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</si>
  <si>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</si>
  <si>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</si>
  <si>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</si>
  <si>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</si>
  <si>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</si>
  <si>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</si>
  <si>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</si>
  <si>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</si>
  <si>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</si>
  <si>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</si>
  <si>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</si>
  <si>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</si>
  <si>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</si>
  <si>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</si>
  <si>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</si>
  <si>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</si>
  <si>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</si>
  <si>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</si>
  <si>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</si>
  <si>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</si>
  <si>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</si>
  <si>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</si>
  <si>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</si>
  <si>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</si>
  <si>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</si>
  <si>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</si>
  <si>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</si>
  <si>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</si>
  <si>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</si>
  <si>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</si>
  <si>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</si>
  <si>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</si>
  <si>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</si>
  <si>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</si>
  <si>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</si>
  <si>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</si>
  <si>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</si>
  <si>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</si>
  <si>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</si>
  <si>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</si>
  <si>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</si>
  <si>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</si>
  <si>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</si>
  <si>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</si>
  <si>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</si>
  <si>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</si>
  <si>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</si>
  <si>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</si>
  <si>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</si>
  <si>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</si>
  <si>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</si>
  <si>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</si>
  <si>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</si>
  <si>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</si>
  <si>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</si>
  <si>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</si>
  <si>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</si>
  <si>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</si>
  <si>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</si>
  <si>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</si>
  <si>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</si>
  <si>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</si>
  <si>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</si>
  <si>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</si>
  <si>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</si>
  <si>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</si>
  <si>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</si>
  <si>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</si>
  <si>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</si>
  <si>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</si>
  <si>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</si>
  <si>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</si>
  <si>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</si>
  <si>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</si>
  <si>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</si>
  <si>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</si>
  <si>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</si>
  <si>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</si>
  <si>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</si>
  <si>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</si>
  <si>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</si>
  <si>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</si>
  <si>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</si>
  <si>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</si>
  <si>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</si>
  <si>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</si>
  <si>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</si>
  <si>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</si>
  <si>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</si>
  <si>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</si>
  <si>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</si>
  <si>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</si>
  <si>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</si>
  <si>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</si>
  <si>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</si>
  <si>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</si>
  <si>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</si>
  <si>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</si>
  <si>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</si>
  <si>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</si>
  <si>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</si>
  <si>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</si>
  <si>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</si>
  <si>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</si>
  <si>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</si>
  <si>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</si>
  <si>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</si>
  <si>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</si>
  <si>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</si>
  <si>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</si>
  <si>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</si>
  <si>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</si>
  <si>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</si>
  <si>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</si>
  <si>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</si>
  <si>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</si>
  <si>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</si>
  <si>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</si>
  <si>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</si>
  <si>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</si>
  <si>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</si>
  <si>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</si>
  <si>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</si>
  <si>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</si>
  <si>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</si>
  <si>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</si>
  <si>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</si>
  <si>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</si>
  <si>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</si>
  <si>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</si>
  <si>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</si>
  <si>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</si>
  <si>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</si>
  <si>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</si>
  <si>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</si>
  <si>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</si>
  <si>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</si>
  <si>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</si>
  <si>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</si>
  <si>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</si>
  <si>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</si>
  <si>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</si>
  <si>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</si>
  <si>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</si>
  <si>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</si>
  <si>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</si>
  <si>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</si>
  <si>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</si>
  <si>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</si>
  <si>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</si>
  <si>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</si>
  <si>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</si>
  <si>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</si>
  <si>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</si>
  <si>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</si>
  <si>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</si>
  <si>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</si>
  <si>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</si>
  <si>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</si>
  <si>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</si>
  <si>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</si>
  <si>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</si>
  <si>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</si>
  <si>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</si>
  <si>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</si>
  <si>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</si>
  <si>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</si>
  <si>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</si>
  <si>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</si>
  <si>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</si>
  <si>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</si>
  <si>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</si>
  <si>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</si>
  <si>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</si>
  <si>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</si>
  <si>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</si>
  <si>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</si>
  <si>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</si>
  <si>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</si>
  <si>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</si>
  <si>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</si>
  <si>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</si>
  <si>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</si>
  <si>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</si>
  <si>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</si>
  <si>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</si>
  <si>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</si>
  <si>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</si>
  <si>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</si>
  <si>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</si>
  <si>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</si>
  <si>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</si>
  <si>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</si>
  <si>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</si>
  <si>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</si>
  <si>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</si>
  <si>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</si>
  <si>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</si>
  <si>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</si>
  <si>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</si>
  <si>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</si>
  <si>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</si>
  <si>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</si>
  <si>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</si>
  <si>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</si>
  <si>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</si>
  <si>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</si>
  <si>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</si>
  <si>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</si>
  <si>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</si>
  <si>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</si>
  <si>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</si>
  <si>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</si>
  <si>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</si>
  <si>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</si>
  <si>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</si>
  <si>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</si>
  <si>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</si>
  <si>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</si>
  <si>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</si>
  <si>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</si>
  <si>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</si>
  <si>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</si>
  <si>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</si>
  <si>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</si>
  <si>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</si>
  <si>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</si>
  <si>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</si>
  <si>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</si>
  <si>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</si>
  <si>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</si>
  <si>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</si>
  <si>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</si>
  <si>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</si>
  <si>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</si>
  <si>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</si>
  <si>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</si>
  <si>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</si>
  <si>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</si>
  <si>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</si>
  <si>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</si>
  <si>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</si>
  <si>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</si>
  <si>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</si>
  <si>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</si>
  <si>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</si>
  <si>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</si>
  <si>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</si>
  <si>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</si>
  <si>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</si>
  <si>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</si>
  <si>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</si>
  <si>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</si>
  <si>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</si>
  <si>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</si>
  <si>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</si>
  <si>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</si>
  <si>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</si>
  <si>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</si>
  <si>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</si>
  <si>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</si>
  <si>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</si>
  <si>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</si>
  <si>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</si>
  <si>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</si>
  <si>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</si>
  <si>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</si>
  <si>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</si>
  <si>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</si>
  <si>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</si>
  <si>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</si>
  <si>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</si>
  <si>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</si>
  <si>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</si>
  <si>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</si>
  <si>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</si>
  <si>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</si>
  <si>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</si>
  <si>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</si>
  <si>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</si>
  <si>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</si>
  <si>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</si>
  <si>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</si>
  <si>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</si>
  <si>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</si>
  <si>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</si>
  <si>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</si>
  <si>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</si>
  <si>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</si>
  <si>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</si>
  <si>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</si>
  <si>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</si>
  <si>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</si>
  <si>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</si>
  <si>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</si>
  <si>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</si>
  <si>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</si>
  <si>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</si>
  <si>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</si>
  <si>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</si>
  <si>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</si>
  <si>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</si>
  <si>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</si>
  <si>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</si>
  <si>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</si>
  <si>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</si>
  <si>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</si>
  <si>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</si>
  <si>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</si>
  <si>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</si>
  <si>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</si>
  <si>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</si>
  <si>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</si>
  <si>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</si>
  <si>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</si>
  <si>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</si>
  <si>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</si>
  <si>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</si>
  <si>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</si>
  <si>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</si>
  <si>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</si>
  <si>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</si>
  <si>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</si>
  <si>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</si>
  <si>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</si>
  <si>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</si>
  <si>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</si>
  <si>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</si>
  <si>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</si>
  <si>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</si>
  <si>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</si>
  <si>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</si>
  <si>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</si>
  <si>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</si>
  <si>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</si>
  <si>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</si>
  <si>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</si>
  <si>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</si>
  <si>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</si>
  <si>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</si>
  <si>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</si>
  <si>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</si>
  <si>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</si>
  <si>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</si>
  <si>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</si>
  <si>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</si>
  <si>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</si>
  <si>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</si>
  <si>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</si>
  <si>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</si>
  <si>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</si>
  <si>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</si>
  <si>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</si>
  <si>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</si>
  <si>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</si>
  <si>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</si>
  <si>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</si>
  <si>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</si>
  <si>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</si>
  <si>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</si>
  <si>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</si>
  <si>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</si>
  <si>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</si>
  <si>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</si>
  <si>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</si>
  <si>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</si>
  <si>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</si>
  <si>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</si>
  <si>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</si>
  <si>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</si>
  <si>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</si>
  <si>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</si>
  <si>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</si>
  <si>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</si>
  <si>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</si>
  <si>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</si>
  <si>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</si>
  <si>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</si>
  <si>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</si>
  <si>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</si>
  <si>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</si>
  <si>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</si>
  <si>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</si>
  <si>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</si>
  <si>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</si>
  <si>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</si>
  <si>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</si>
  <si>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</si>
  <si>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</si>
  <si>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</si>
  <si>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</si>
  <si>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</si>
  <si>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</si>
  <si>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</si>
  <si>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</si>
  <si>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</si>
  <si>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</si>
  <si>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</si>
  <si>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</si>
  <si>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</si>
  <si>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</si>
  <si>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</si>
  <si>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</si>
  <si>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</si>
  <si>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</si>
  <si>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</si>
  <si>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</si>
  <si>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</si>
  <si>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</si>
  <si>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</si>
  <si>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</si>
  <si>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</si>
  <si>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</si>
  <si>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</si>
  <si>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</si>
  <si>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</si>
  <si>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</si>
  <si>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</si>
  <si>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</si>
  <si>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</si>
  <si>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</si>
  <si>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</si>
  <si>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</si>
  <si>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</si>
  <si>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</si>
  <si>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</si>
  <si>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</si>
  <si>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</si>
  <si>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</si>
  <si>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</si>
  <si>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</si>
  <si>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</si>
  <si>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</si>
  <si>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</si>
  <si>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</si>
  <si>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</si>
  <si>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</si>
  <si>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</si>
  <si>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</si>
  <si>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</si>
  <si>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</si>
  <si>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</si>
  <si>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</si>
  <si>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</si>
  <si>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</si>
  <si>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</si>
  <si>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</si>
  <si>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</si>
  <si>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</si>
  <si>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</si>
  <si>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</si>
  <si>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</si>
  <si>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</si>
  <si>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</si>
  <si>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</si>
  <si>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</si>
  <si>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</si>
  <si>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</si>
  <si>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</si>
  <si>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</si>
  <si>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</si>
  <si>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</si>
  <si>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</si>
  <si>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</si>
  <si>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</si>
  <si>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</si>
  <si>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</si>
  <si>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</si>
  <si>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</si>
  <si>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</si>
  <si>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</si>
  <si>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</si>
  <si>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</si>
  <si>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</si>
  <si>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</si>
  <si>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</si>
  <si>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</si>
  <si>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</si>
  <si>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</si>
  <si>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</si>
  <si>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</si>
  <si>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</si>
  <si>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</si>
  <si>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</si>
  <si>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</si>
  <si>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</si>
  <si>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</si>
  <si>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</si>
  <si>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</si>
  <si>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</si>
  <si>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</si>
  <si>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</si>
  <si>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</si>
  <si>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</si>
  <si>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</si>
  <si>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</si>
  <si>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</si>
  <si>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</si>
  <si>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</si>
  <si>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</si>
  <si>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</si>
  <si>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</si>
  <si>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</si>
  <si>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</si>
  <si>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</si>
  <si>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</si>
  <si>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</si>
  <si>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</si>
  <si>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</si>
  <si>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</si>
  <si>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</si>
  <si>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</si>
  <si>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</si>
  <si>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</si>
  <si>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</si>
  <si>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</si>
  <si>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</si>
  <si>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</si>
  <si>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</si>
  <si>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</si>
  <si>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</si>
  <si>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</si>
  <si>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</si>
  <si>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</si>
  <si>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</si>
  <si>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</si>
  <si>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</si>
  <si>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</si>
  <si>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</si>
  <si>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</si>
  <si>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</si>
  <si>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</si>
  <si>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</si>
  <si>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</si>
  <si>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</si>
  <si>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</si>
  <si>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</si>
  <si>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</si>
  <si>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</si>
  <si>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</si>
  <si>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</si>
  <si>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</si>
  <si>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</si>
  <si>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</si>
  <si>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</si>
  <si>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</si>
  <si>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</si>
  <si>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</si>
  <si>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</si>
  <si>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</si>
  <si>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</si>
  <si>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</si>
  <si>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</si>
  <si>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</si>
  <si>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</si>
  <si>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</si>
  <si>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</si>
  <si>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</si>
  <si>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</si>
  <si>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</si>
  <si>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</si>
  <si>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</si>
  <si>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</si>
  <si>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</si>
  <si>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</si>
  <si>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</si>
  <si>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</si>
  <si>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</si>
  <si>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</si>
  <si>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</si>
  <si>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</si>
  <si>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</si>
  <si>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</si>
  <si>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</si>
  <si>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</si>
  <si>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</si>
  <si>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</si>
  <si>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</si>
  <si>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</si>
  <si>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</si>
  <si>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</si>
  <si>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</si>
  <si>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</si>
  <si>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</si>
  <si>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</si>
  <si>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</si>
  <si>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</si>
  <si>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</si>
  <si>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</si>
  <si>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</si>
  <si>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</si>
  <si>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</si>
  <si>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</si>
  <si>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</si>
  <si>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</si>
  <si>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</si>
  <si>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</si>
  <si>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</si>
  <si>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</si>
  <si>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</si>
  <si>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</si>
  <si>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</si>
  <si>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</si>
  <si>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</si>
  <si>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</si>
  <si>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</si>
  <si>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</si>
  <si>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</si>
  <si>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</si>
  <si>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</si>
  <si>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</si>
  <si>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</si>
  <si>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</si>
  <si>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</si>
  <si>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</si>
  <si>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</si>
  <si>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</si>
  <si>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</si>
  <si>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</si>
  <si>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</si>
  <si>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</si>
  <si>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</si>
  <si>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</si>
  <si>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</si>
  <si>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</si>
  <si>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</si>
  <si>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</si>
  <si>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</si>
  <si>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</si>
  <si>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</si>
  <si>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</si>
  <si>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</si>
  <si>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</si>
  <si>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</si>
  <si>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</si>
  <si>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</si>
  <si>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</si>
  <si>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</si>
  <si>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</si>
  <si>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</si>
  <si>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</si>
  <si>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</si>
  <si>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</si>
  <si>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</si>
  <si>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</si>
  <si>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</si>
  <si>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</si>
  <si>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</si>
  <si>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</si>
  <si>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</si>
  <si>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</si>
  <si>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</si>
  <si>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</si>
  <si>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</si>
  <si>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</si>
  <si>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</si>
  <si>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</si>
  <si>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</si>
  <si>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</si>
  <si>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</si>
  <si>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</si>
  <si>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</si>
  <si>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</si>
  <si>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</si>
  <si>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</si>
  <si>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</si>
  <si>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</si>
  <si>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</si>
  <si>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</si>
  <si>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</si>
  <si>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</si>
  <si>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</si>
  <si>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</si>
  <si>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</si>
  <si>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</si>
  <si>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</si>
  <si>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</si>
  <si>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</si>
  <si>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</si>
  <si>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</si>
  <si>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</si>
  <si>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</si>
  <si>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</si>
  <si>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</si>
  <si>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</si>
  <si>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</si>
  <si>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</si>
  <si>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</si>
  <si>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</si>
  <si>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</si>
  <si>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</si>
  <si>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</si>
  <si>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</si>
  <si>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</si>
  <si>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</si>
  <si>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</si>
  <si>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</si>
  <si>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</si>
  <si>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</si>
  <si>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</si>
  <si>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</si>
  <si>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</si>
  <si>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</si>
  <si>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</si>
  <si>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</si>
  <si>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</si>
  <si>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</si>
  <si>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</si>
  <si>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</si>
  <si>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</si>
  <si>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</si>
  <si>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</si>
  <si>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</si>
  <si>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</si>
  <si>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</si>
  <si>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</si>
  <si>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</si>
  <si>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</si>
  <si>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</si>
  <si>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</si>
  <si>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</si>
  <si>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</si>
  <si>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</si>
  <si>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</si>
  <si>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</si>
  <si>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</si>
  <si>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</si>
  <si>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</si>
  <si>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</si>
  <si>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</si>
  <si>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</si>
  <si>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</si>
  <si>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</si>
  <si>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</si>
  <si>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</si>
  <si>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</si>
  <si>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</si>
  <si>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</si>
  <si>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</si>
  <si>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</si>
  <si>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</si>
  <si>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</si>
  <si>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</si>
  <si>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</si>
  <si>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</si>
  <si>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</si>
  <si>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</si>
  <si>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</si>
  <si>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</si>
  <si>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</si>
  <si>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</si>
  <si>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</si>
  <si>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</si>
  <si>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</si>
  <si>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</si>
  <si>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</si>
  <si>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</si>
  <si>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</si>
  <si>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</si>
  <si>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</si>
  <si>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</si>
  <si>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</si>
  <si>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</si>
  <si>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</si>
  <si>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</si>
  <si>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</si>
  <si>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</si>
  <si>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</si>
  <si>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</si>
  <si>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</si>
  <si>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</si>
  <si>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</si>
  <si>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</si>
  <si>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</si>
  <si>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</si>
  <si>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</si>
  <si>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</si>
  <si>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</si>
  <si>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</si>
  <si>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</si>
  <si>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</si>
  <si>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</si>
  <si>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</si>
  <si>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</si>
  <si>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</si>
  <si>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</si>
  <si>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</si>
  <si>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</si>
  <si>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</si>
  <si>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</si>
  <si>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</si>
  <si>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</si>
  <si>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</si>
  <si>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</si>
  <si>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</si>
  <si>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</si>
  <si>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</si>
  <si>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</si>
  <si>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</si>
  <si>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</si>
  <si>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</si>
  <si>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</si>
  <si>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</si>
  <si>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</si>
  <si>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</si>
  <si>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</si>
  <si>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</si>
  <si>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</si>
  <si>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</si>
  <si>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</si>
  <si>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</si>
  <si>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</si>
  <si>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</si>
  <si>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</si>
  <si>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</si>
  <si>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</si>
  <si>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</si>
  <si>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</si>
  <si>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</si>
  <si>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</si>
  <si>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</si>
  <si>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</si>
  <si>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</si>
  <si>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</si>
  <si>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</si>
  <si>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</si>
  <si>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</si>
  <si>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</si>
  <si>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</si>
  <si>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</si>
  <si>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</si>
  <si>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</si>
  <si>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</si>
  <si>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</si>
  <si>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</si>
  <si>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</si>
  <si>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</si>
  <si>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</si>
  <si>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</si>
  <si>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</si>
  <si>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</si>
  <si>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</si>
  <si>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</si>
  <si>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</si>
  <si>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</si>
  <si>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</si>
  <si>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</si>
  <si>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</si>
  <si>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</si>
  <si>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</si>
  <si>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</si>
  <si>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</si>
  <si>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</si>
  <si>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</si>
  <si>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</si>
  <si>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</si>
  <si>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</si>
  <si>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</si>
  <si>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</si>
  <si>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</si>
  <si>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</si>
  <si>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</si>
  <si>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</si>
  <si>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</si>
  <si>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</si>
  <si>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</si>
  <si>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</si>
  <si>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</si>
  <si>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</si>
  <si>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</si>
  <si>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</si>
  <si>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</si>
  <si>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</si>
  <si>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</si>
  <si>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</si>
  <si>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</si>
  <si>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</si>
  <si>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</si>
  <si>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</si>
  <si>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</si>
  <si>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</si>
  <si>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</si>
  <si>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</si>
  <si>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</si>
  <si>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</si>
  <si>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</si>
  <si>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</si>
  <si>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</si>
  <si>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</si>
  <si>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</si>
  <si>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</si>
  <si>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</si>
  <si>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</si>
  <si>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</si>
  <si>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</si>
  <si>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</si>
  <si>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</si>
  <si>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</si>
  <si>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</si>
  <si>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</si>
  <si>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</si>
  <si>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</si>
  <si>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</si>
  <si>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</si>
  <si>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</si>
  <si>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</si>
  <si>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</si>
  <si>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</si>
  <si>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</si>
  <si>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</si>
  <si>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</si>
  <si>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</si>
  <si>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</si>
  <si>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</si>
  <si>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</si>
  <si>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</si>
  <si>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</si>
  <si>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</si>
  <si>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</si>
  <si>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</si>
  <si>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</si>
  <si>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</si>
  <si>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</si>
  <si>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</si>
  <si>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</si>
  <si>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</si>
  <si>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</si>
  <si>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</si>
  <si>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</si>
  <si>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</si>
  <si>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</si>
  <si>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</si>
  <si>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</si>
  <si>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</si>
  <si>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</si>
  <si>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</si>
  <si>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</si>
  <si>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</si>
  <si>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</si>
  <si>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</si>
  <si>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</si>
  <si>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</si>
  <si>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</si>
  <si>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</si>
  <si>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</si>
  <si>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</si>
  <si>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</si>
  <si>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</si>
  <si>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</si>
  <si>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</si>
  <si>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</si>
  <si>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</si>
  <si>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</si>
  <si>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</si>
  <si>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</si>
  <si>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</si>
  <si>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</si>
  <si>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</si>
  <si>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</si>
  <si>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</si>
  <si>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</si>
  <si>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</si>
  <si>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</si>
  <si>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</si>
  <si>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</si>
  <si>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</si>
  <si>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</si>
  <si>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</si>
  <si>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</si>
  <si>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</si>
  <si>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</si>
  <si>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</si>
  <si>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</si>
  <si>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</si>
  <si>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</si>
  <si>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</si>
  <si>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</si>
  <si>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</si>
  <si>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</si>
  <si>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</si>
  <si>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</si>
  <si>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</si>
  <si>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</si>
  <si>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</si>
  <si>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</si>
  <si>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</si>
  <si>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</si>
  <si>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</si>
  <si>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</si>
  <si>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</si>
  <si>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</si>
  <si>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</si>
  <si>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</si>
  <si>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</si>
  <si>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</si>
  <si>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</si>
  <si>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</si>
  <si>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</si>
  <si>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</si>
  <si>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</si>
  <si>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</si>
  <si>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</si>
  <si>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</si>
  <si>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</si>
  <si>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</si>
  <si>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</si>
  <si>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</si>
  <si>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</si>
  <si>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</si>
  <si>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</si>
  <si>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</si>
  <si>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</si>
  <si>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</si>
  <si>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</si>
  <si>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</si>
  <si>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</si>
  <si>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</si>
  <si>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</si>
  <si>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</si>
  <si>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</si>
  <si>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</si>
  <si>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</si>
  <si>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</si>
  <si>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</si>
  <si>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</si>
  <si>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</si>
  <si>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</si>
  <si>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</si>
  <si>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</si>
  <si>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</si>
  <si>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</si>
  <si>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</si>
  <si>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</si>
  <si>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</si>
  <si>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</si>
  <si>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</si>
  <si>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</si>
  <si>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</si>
  <si>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</si>
  <si>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</si>
  <si>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</si>
  <si>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</si>
  <si>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</si>
  <si>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</si>
  <si>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</si>
  <si>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</si>
  <si>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</si>
  <si>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</si>
  <si>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</si>
  <si>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</si>
  <si>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</si>
  <si>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</si>
  <si>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</si>
  <si>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</si>
  <si>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</si>
  <si>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</si>
  <si>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</si>
  <si>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</si>
  <si>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</si>
  <si>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</si>
  <si>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</si>
  <si>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</si>
  <si>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</si>
  <si>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</si>
  <si>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</si>
  <si>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</si>
  <si>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</si>
  <si>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</si>
  <si>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</si>
  <si>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</si>
  <si>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</si>
  <si>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</si>
  <si>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</si>
  <si>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</si>
  <si>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</si>
  <si>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</si>
  <si>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</si>
  <si>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</si>
  <si>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</si>
  <si>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</si>
  <si>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</si>
  <si>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</si>
  <si>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</si>
  <si>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</si>
  <si>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</si>
  <si>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</si>
  <si>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</si>
  <si>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</si>
  <si>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</si>
  <si>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</si>
  <si>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</si>
  <si>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</si>
  <si>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</si>
  <si>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</si>
  <si>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</si>
  <si>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</si>
  <si>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</si>
  <si>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</si>
  <si>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</si>
  <si>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</si>
  <si>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</si>
  <si>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</si>
  <si>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</si>
  <si>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</si>
  <si>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</si>
  <si>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</si>
  <si>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</si>
  <si>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</si>
  <si>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</si>
  <si>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</si>
  <si>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</si>
  <si>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</si>
  <si>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</si>
  <si>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</si>
  <si>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</si>
  <si>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</si>
  <si>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</si>
  <si>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</si>
  <si>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</si>
  <si>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</si>
  <si>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</si>
  <si>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</si>
  <si>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</si>
  <si>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</si>
  <si>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</si>
  <si>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</si>
  <si>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</si>
  <si>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</si>
  <si>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</si>
  <si>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</si>
  <si>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</si>
  <si>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</si>
  <si>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</si>
  <si>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</si>
  <si>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</si>
  <si>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</si>
  <si>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</si>
  <si>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</si>
  <si>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</si>
  <si>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</si>
  <si>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</si>
  <si>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</si>
  <si>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</si>
  <si>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</si>
  <si>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</si>
  <si>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</si>
  <si>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</si>
  <si>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</si>
  <si>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</si>
  <si>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</si>
  <si>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</si>
  <si>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</si>
  <si>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</si>
  <si>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</si>
  <si>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</si>
  <si>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</si>
  <si>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</si>
  <si>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</si>
  <si>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</si>
  <si>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</si>
  <si>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</si>
  <si>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</si>
  <si>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</si>
  <si>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</si>
  <si>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</si>
  <si>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</si>
  <si>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</si>
  <si>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</si>
  <si>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</si>
  <si>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</si>
  <si>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</si>
  <si>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</si>
  <si>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</si>
  <si>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</si>
  <si>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</si>
  <si>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</si>
  <si>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</si>
  <si>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</si>
  <si>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</si>
  <si>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</si>
  <si>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</si>
  <si>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</si>
  <si>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</si>
  <si>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</si>
  <si>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</si>
  <si>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</si>
  <si>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</si>
  <si>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</si>
  <si>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</si>
  <si>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</si>
  <si>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</si>
  <si>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</si>
  <si>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</si>
  <si>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</si>
  <si>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</si>
  <si>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</si>
  <si>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</si>
  <si>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</si>
  <si>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</si>
  <si>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</si>
  <si>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</si>
  <si>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</si>
  <si>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</si>
  <si>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</si>
  <si>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</si>
  <si>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</si>
  <si>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</si>
  <si>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</si>
  <si>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</si>
  <si>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</si>
  <si>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</si>
  <si>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</si>
  <si>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</si>
  <si>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</si>
  <si>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</si>
  <si>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</si>
  <si>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</si>
  <si>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</si>
  <si>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</si>
  <si>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</si>
  <si>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</si>
  <si>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</si>
  <si>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</si>
  <si>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</si>
  <si>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</si>
  <si>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</si>
  <si>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</si>
  <si>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</si>
  <si>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</si>
  <si>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</si>
  <si>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</si>
  <si>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</si>
  <si>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</si>
  <si>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</si>
  <si>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</si>
  <si>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</si>
  <si>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</si>
  <si>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</si>
  <si>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</si>
  <si>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</si>
  <si>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</si>
  <si>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</si>
  <si>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</si>
  <si>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</si>
  <si>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</si>
  <si>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</si>
  <si>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</si>
  <si>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</si>
  <si>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</si>
  <si>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</si>
  <si>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</si>
  <si>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</si>
  <si>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</si>
  <si>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</si>
  <si>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</si>
  <si>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</si>
  <si>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</si>
  <si>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</si>
  <si>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</si>
  <si>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</si>
  <si>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</si>
  <si>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</si>
  <si>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</si>
  <si>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</si>
  <si>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</si>
  <si>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</si>
  <si>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</si>
  <si>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</si>
  <si>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</si>
  <si>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</si>
  <si>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</si>
  <si>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</si>
  <si>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</si>
  <si>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</si>
  <si>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</si>
  <si>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</si>
  <si>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</si>
  <si>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</si>
  <si>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</si>
  <si>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</si>
  <si>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</si>
  <si>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</si>
  <si>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</si>
  <si>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</si>
  <si>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</si>
  <si>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</si>
  <si>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</si>
  <si>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</si>
  <si>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</si>
  <si>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</si>
  <si>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</si>
  <si>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</si>
  <si>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</si>
  <si>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</si>
  <si>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</si>
  <si>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</si>
  <si>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</si>
  <si>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</si>
  <si>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</si>
  <si>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</si>
  <si>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</si>
  <si>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</si>
  <si>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</si>
  <si>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</si>
  <si>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</si>
  <si>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</si>
  <si>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</si>
  <si>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</si>
  <si>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</si>
  <si>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</si>
  <si>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</si>
  <si>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</si>
  <si>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</si>
  <si>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</si>
  <si>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</si>
  <si>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</si>
  <si>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</si>
  <si>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</si>
  <si>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</si>
  <si>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</si>
  <si>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</si>
  <si>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</si>
  <si>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</si>
  <si>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</si>
  <si>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</si>
  <si>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</si>
  <si>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</si>
  <si>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</si>
  <si>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</si>
  <si>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</si>
  <si>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</si>
  <si>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</si>
  <si>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</si>
  <si>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</si>
  <si>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</si>
  <si>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</si>
  <si>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</si>
  <si>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</si>
  <si>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</si>
  <si>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</si>
  <si>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</si>
  <si>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</si>
  <si>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</si>
  <si>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</si>
  <si>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</si>
  <si>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</si>
  <si>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</si>
  <si>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</si>
  <si>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</si>
  <si>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</si>
  <si>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</si>
  <si>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</si>
  <si>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</si>
  <si>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</si>
  <si>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</si>
  <si>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</si>
  <si>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</si>
  <si>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</si>
  <si>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</si>
  <si>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</si>
  <si>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</si>
  <si>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</si>
  <si>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</si>
  <si>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</si>
  <si>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</si>
  <si>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</si>
  <si>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</si>
  <si>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</si>
  <si>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</si>
  <si>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</si>
  <si>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</si>
  <si>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</si>
  <si>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</si>
  <si>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</si>
  <si>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</si>
  <si>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</si>
  <si>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</si>
  <si>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</si>
  <si>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</si>
  <si>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</si>
  <si>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</si>
  <si>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</si>
  <si>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</si>
  <si>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</si>
  <si>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</si>
  <si>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</si>
  <si>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</si>
  <si>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</si>
  <si>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</si>
  <si>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</si>
  <si>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</si>
  <si>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</si>
  <si>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</si>
  <si>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</si>
  <si>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</si>
  <si>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</si>
  <si>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</si>
  <si>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</si>
  <si>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</si>
  <si>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</si>
  <si>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</si>
  <si>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</si>
  <si>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</si>
  <si>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</si>
  <si>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</si>
  <si>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</si>
  <si>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</si>
  <si>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</si>
  <si>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</si>
  <si>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</si>
  <si>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</si>
  <si>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</si>
  <si>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</si>
  <si>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</si>
  <si>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</si>
  <si>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</si>
  <si>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</si>
  <si>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</si>
  <si>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</si>
  <si>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</si>
  <si>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</si>
  <si>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</si>
  <si>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</si>
  <si>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</si>
  <si>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</si>
  <si>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</si>
  <si>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</si>
  <si>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</si>
  <si>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</si>
  <si>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</si>
  <si>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</si>
  <si>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</si>
  <si>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</si>
  <si>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</si>
  <si>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</si>
  <si>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</si>
  <si>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</si>
  <si>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</si>
  <si>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</si>
  <si>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</si>
  <si>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</si>
  <si>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</si>
  <si>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</si>
  <si>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</si>
  <si>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</si>
  <si>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</si>
  <si>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</si>
  <si>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</si>
  <si>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</si>
  <si>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</si>
  <si>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</si>
  <si>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</si>
  <si>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</si>
  <si>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</si>
  <si>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</si>
  <si>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</si>
  <si>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</si>
  <si>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</si>
  <si>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</si>
  <si>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</si>
  <si>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</si>
  <si>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</si>
  <si>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</si>
  <si>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</si>
  <si>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</si>
  <si>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</si>
  <si>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</si>
  <si>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</si>
  <si>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</si>
  <si>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</si>
  <si>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</si>
  <si>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</si>
  <si>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</si>
  <si>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</si>
  <si>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</si>
  <si>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</si>
  <si>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</si>
  <si>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</si>
  <si>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</si>
  <si>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</si>
  <si>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</si>
  <si>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</si>
  <si>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</si>
  <si>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</si>
  <si>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</si>
  <si>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</si>
  <si>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</si>
  <si>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</si>
  <si>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</si>
  <si>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</si>
  <si>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</si>
  <si>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</si>
  <si>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</si>
  <si>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</si>
  <si>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</si>
  <si>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</si>
  <si>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</si>
  <si>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</si>
  <si>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</si>
  <si>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</si>
  <si>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</si>
  <si>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</si>
  <si>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</si>
  <si>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</si>
  <si>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</si>
  <si>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</si>
  <si>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</si>
  <si>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</si>
  <si>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</si>
  <si>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</si>
  <si>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</si>
  <si>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</si>
  <si>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</si>
  <si>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</si>
  <si>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</si>
  <si>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</si>
  <si>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</si>
  <si>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</si>
  <si>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</si>
  <si>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</si>
  <si>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</si>
  <si>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</si>
  <si>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</si>
  <si>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</si>
  <si>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</si>
  <si>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</si>
  <si>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</si>
  <si>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</si>
  <si>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</si>
  <si>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</si>
  <si>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</si>
  <si>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</si>
  <si>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</si>
  <si>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</si>
  <si>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</si>
  <si>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</si>
  <si>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</si>
  <si>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</si>
  <si>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</si>
  <si>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</si>
  <si>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</si>
  <si>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</si>
  <si>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</si>
  <si>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</si>
  <si>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</si>
  <si>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</si>
  <si>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</si>
  <si>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</si>
  <si>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</si>
  <si>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</si>
  <si>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</si>
  <si>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</si>
  <si>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</si>
  <si>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</si>
  <si>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</si>
  <si>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</si>
  <si>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</si>
  <si>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</si>
  <si>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</si>
  <si>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</si>
  <si>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</si>
  <si>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</si>
  <si>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</si>
  <si>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</si>
  <si>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</si>
  <si>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</si>
  <si>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</si>
  <si>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</si>
  <si>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</si>
  <si>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</si>
  <si>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</si>
  <si>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</si>
  <si>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</si>
  <si>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</si>
  <si>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</si>
  <si>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</si>
  <si>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</si>
  <si>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</si>
  <si>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</si>
  <si>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Basler Electric</t>
  </si>
  <si>
    <t>John Mollett</t>
  </si>
  <si>
    <t>johnmollett@basler.com</t>
  </si>
  <si>
    <t>618-654-2341 x412</t>
  </si>
  <si>
    <t>Director of Corporate Quality</t>
  </si>
  <si>
    <t>Basler Electric requires that suppliers adhere to the requirements of the law and provide reporting. This may include statements of their due diligence without supplying the list of smelters, when applicable. Therefore, the supplier determines, monitors and guarantees the "DRC-conflict free declaration " for their products.</t>
  </si>
  <si>
    <t>https://www.basler.com/About-Us/Supplier-Information</t>
  </si>
  <si>
    <t>We request a EMRT but also use material declarations, supplier statements, and Form SD.</t>
  </si>
  <si>
    <t>SungEel HiTech Co.,Ltd.</t>
  </si>
  <si>
    <t>Anhui Hanrui New Materials Co.,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</si>
</sst>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left" wrapText="1"/>
      <protection locked="0"/>
    </xf>
    <xf numFmtId="167" fontId="17" fillId="45" borderId="58" xfId="0" applyNumberFormat="1" applyFont="1" applyFill="1" applyBorder="1" applyAlignment="1" applyProtection="1">
      <alignment horizontal="left"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76" fillId="45" borderId="56" xfId="497" applyFont="1"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cellStyle name="20% - Accent1 2 2" xfId="596"/>
    <cellStyle name="20% - Accent1 2 2 2" xfId="759"/>
    <cellStyle name="20% - Accent1 2 3" xfId="712"/>
    <cellStyle name="20% - Accent1 3" xfId="806"/>
    <cellStyle name="20% - Accent2" xfId="691" builtinId="34" customBuiltin="1"/>
    <cellStyle name="20% - Accent2 2" xfId="7"/>
    <cellStyle name="20% - Accent2 2 2" xfId="597"/>
    <cellStyle name="20% - Accent2 2 2 2" xfId="760"/>
    <cellStyle name="20% - Accent2 2 3" xfId="713"/>
    <cellStyle name="20% - Accent2 3" xfId="809"/>
    <cellStyle name="20% - Accent3" xfId="695" builtinId="38" customBuiltin="1"/>
    <cellStyle name="20% - Accent3 2" xfId="8"/>
    <cellStyle name="20% - Accent3 2 2" xfId="598"/>
    <cellStyle name="20% - Accent3 2 2 2" xfId="761"/>
    <cellStyle name="20% - Accent3 2 3" xfId="714"/>
    <cellStyle name="20% - Accent3 3" xfId="812"/>
    <cellStyle name="20% - Accent4" xfId="699" builtinId="42" customBuiltin="1"/>
    <cellStyle name="20% - Accent4 2" xfId="9"/>
    <cellStyle name="20% - Accent4 2 2" xfId="599"/>
    <cellStyle name="20% - Accent4 2 2 2" xfId="762"/>
    <cellStyle name="20% - Accent4 2 3" xfId="715"/>
    <cellStyle name="20% - Accent4 3" xfId="815"/>
    <cellStyle name="20% - Accent5" xfId="703" builtinId="46" customBuiltin="1"/>
    <cellStyle name="20% - Accent5 2" xfId="10"/>
    <cellStyle name="20% - Accent5 2 2" xfId="600"/>
    <cellStyle name="20% - Accent5 2 2 2" xfId="763"/>
    <cellStyle name="20% - Accent5 2 3" xfId="716"/>
    <cellStyle name="20% - Accent5 3" xfId="818"/>
    <cellStyle name="20% - Accent6" xfId="707" builtinId="50" customBuiltin="1"/>
    <cellStyle name="20% - Accent6 2" xfId="11"/>
    <cellStyle name="20% - Accent6 2 2" xfId="601"/>
    <cellStyle name="20% - Accent6 2 2 2" xfId="764"/>
    <cellStyle name="20% - Accent6 2 3" xfId="717"/>
    <cellStyle name="20% - Accent6 3" xfId="821"/>
    <cellStyle name="40% - Accent1" xfId="688" builtinId="31" customBuiltin="1"/>
    <cellStyle name="40% - Accent1 2" xfId="12"/>
    <cellStyle name="40% - Accent1 2 2" xfId="602"/>
    <cellStyle name="40% - Accent1 2 2 2" xfId="765"/>
    <cellStyle name="40% - Accent1 2 3" xfId="718"/>
    <cellStyle name="40% - Accent1 3" xfId="807"/>
    <cellStyle name="40% - Accent2" xfId="692" builtinId="35" customBuiltin="1"/>
    <cellStyle name="40% - Accent2 2" xfId="13"/>
    <cellStyle name="40% - Accent2 2 2" xfId="603"/>
    <cellStyle name="40% - Accent2 2 2 2" xfId="766"/>
    <cellStyle name="40% - Accent2 2 3" xfId="719"/>
    <cellStyle name="40% - Accent2 3" xfId="810"/>
    <cellStyle name="40% - Accent3" xfId="696" builtinId="39" customBuiltin="1"/>
    <cellStyle name="40% - Accent3 2" xfId="14"/>
    <cellStyle name="40% - Accent3 2 2" xfId="604"/>
    <cellStyle name="40% - Accent3 2 2 2" xfId="767"/>
    <cellStyle name="40% - Accent3 2 3" xfId="720"/>
    <cellStyle name="40% - Accent3 3" xfId="813"/>
    <cellStyle name="40% - Accent4" xfId="700" builtinId="43" customBuiltin="1"/>
    <cellStyle name="40% - Accent4 2" xfId="15"/>
    <cellStyle name="40% - Accent4 2 2" xfId="605"/>
    <cellStyle name="40% - Accent4 2 2 2" xfId="768"/>
    <cellStyle name="40% - Accent4 2 3" xfId="721"/>
    <cellStyle name="40% - Accent4 3" xfId="816"/>
    <cellStyle name="40% - Accent5" xfId="704" builtinId="47" customBuiltin="1"/>
    <cellStyle name="40% - Accent5 2" xfId="16"/>
    <cellStyle name="40% - Accent5 2 2" xfId="606"/>
    <cellStyle name="40% - Accent5 2 2 2" xfId="769"/>
    <cellStyle name="40% - Accent5 2 3" xfId="722"/>
    <cellStyle name="40% - Accent5 3" xfId="819"/>
    <cellStyle name="40% - Accent6" xfId="708" builtinId="51" customBuiltin="1"/>
    <cellStyle name="40% - Accent6 2" xfId="17"/>
    <cellStyle name="40% - Accent6 2 2" xfId="607"/>
    <cellStyle name="40% - Accent6 2 2 2" xfId="770"/>
    <cellStyle name="40% - Accent6 2 3" xfId="723"/>
    <cellStyle name="40% - Accent6 3" xfId="822"/>
    <cellStyle name="60% - Accent1" xfId="689" builtinId="32" customBuiltin="1"/>
    <cellStyle name="60% - Accent1 2" xfId="18"/>
    <cellStyle name="60% - Accent1 2 2" xfId="608"/>
    <cellStyle name="60% - Accent1 3" xfId="808"/>
    <cellStyle name="60% - Accent2" xfId="693" builtinId="36" customBuiltin="1"/>
    <cellStyle name="60% - Accent2 2" xfId="19"/>
    <cellStyle name="60% - Accent2 2 2" xfId="609"/>
    <cellStyle name="60% - Accent2 3" xfId="811"/>
    <cellStyle name="60% - Accent3" xfId="697" builtinId="40" customBuiltin="1"/>
    <cellStyle name="60% - Accent3 2" xfId="20"/>
    <cellStyle name="60% - Accent3 2 2" xfId="610"/>
    <cellStyle name="60% - Accent3 3" xfId="814"/>
    <cellStyle name="60% - Accent4" xfId="701" builtinId="44" customBuiltin="1"/>
    <cellStyle name="60% - Accent4 2" xfId="21"/>
    <cellStyle name="60% - Accent4 2 2" xfId="611"/>
    <cellStyle name="60% - Accent4 3" xfId="817"/>
    <cellStyle name="60% - Accent5" xfId="705" builtinId="48" customBuiltin="1"/>
    <cellStyle name="60% - Accent5 2" xfId="22"/>
    <cellStyle name="60% - Accent5 2 2" xfId="612"/>
    <cellStyle name="60% - Accent5 3" xfId="820"/>
    <cellStyle name="60% - Accent6" xfId="709" builtinId="52" customBuiltin="1"/>
    <cellStyle name="60% - Accent6 2" xfId="23"/>
    <cellStyle name="60% - Accent6 2 2" xfId="613"/>
    <cellStyle name="60% - Accent6 3" xfId="823"/>
    <cellStyle name="Accent1" xfId="686" builtinId="29" customBuiltin="1"/>
    <cellStyle name="Accent1 2" xfId="24"/>
    <cellStyle name="Accent1 2 2" xfId="614"/>
    <cellStyle name="Accent2" xfId="690" builtinId="33" customBuiltin="1"/>
    <cellStyle name="Accent2 2" xfId="25"/>
    <cellStyle name="Accent2 2 2" xfId="615"/>
    <cellStyle name="Accent3" xfId="694" builtinId="37" customBuiltin="1"/>
    <cellStyle name="Accent3 2" xfId="26"/>
    <cellStyle name="Accent3 2 2" xfId="616"/>
    <cellStyle name="Accent4" xfId="698" builtinId="41" customBuiltin="1"/>
    <cellStyle name="Accent4 2" xfId="27"/>
    <cellStyle name="Accent4 2 2" xfId="617"/>
    <cellStyle name="Accent5" xfId="702" builtinId="45" customBuiltin="1"/>
    <cellStyle name="Accent5 2" xfId="28"/>
    <cellStyle name="Accent5 2 2" xfId="618"/>
    <cellStyle name="Accent6" xfId="706" builtinId="49" customBuiltin="1"/>
    <cellStyle name="Accent6 2" xfId="29"/>
    <cellStyle name="Accent6 2 2" xfId="619"/>
    <cellStyle name="Bad" xfId="676" builtinId="27" customBuiltin="1"/>
    <cellStyle name="Bad 2" xfId="30"/>
    <cellStyle name="Bad 2 2" xfId="620"/>
    <cellStyle name="Bad 3" xfId="31"/>
    <cellStyle name="Bad 3 2" xfId="621"/>
    <cellStyle name="Calculation" xfId="680" builtinId="22" customBuiltin="1"/>
    <cellStyle name="Calculation 2" xfId="32"/>
    <cellStyle name="Calculation 2 2" xfId="622"/>
    <cellStyle name="Check Cell" xfId="682" builtinId="23" customBuiltin="1"/>
    <cellStyle name="Check Cell 2" xfId="33"/>
    <cellStyle name="Check Cell 2 2" xfId="623"/>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xfId="684" builtinId="53" customBuiltin="1"/>
    <cellStyle name="Explanatory Text 2" xfId="486"/>
    <cellStyle name="Good" xfId="675" builtinId="26" customBuiltin="1"/>
    <cellStyle name="Good 2" xfId="487"/>
    <cellStyle name="Good 2 2" xfId="624"/>
    <cellStyle name="Heading 1" xfId="671" builtinId="16" customBuiltin="1"/>
    <cellStyle name="Heading 1 2" xfId="488"/>
    <cellStyle name="Heading 2" xfId="672" builtinId="17" customBuiltin="1"/>
    <cellStyle name="Heading 2 2" xfId="489"/>
    <cellStyle name="Heading 2 2 2" xfId="625"/>
    <cellStyle name="Heading 3" xfId="673" builtinId="18" customBuiltin="1"/>
    <cellStyle name="Heading 3 2" xfId="490"/>
    <cellStyle name="Heading 4" xfId="674" builtinId="19" customBuiltin="1"/>
    <cellStyle name="Heading 4 2" xfId="491"/>
    <cellStyle name="Hyperlink" xfId="828"/>
    <cellStyle name="Hyperlink 2" xfId="492"/>
    <cellStyle name="Hyperlink 2 2" xfId="627"/>
    <cellStyle name="Hyperlink 2 3" xfId="830"/>
    <cellStyle name="Hyperlink 3" xfId="493"/>
    <cellStyle name="Hyperlink 4" xfId="494"/>
    <cellStyle name="Hyperlink 4 2" xfId="628"/>
    <cellStyle name="Hyperlink 5" xfId="495"/>
    <cellStyle name="Hyperlink 5 2" xfId="496"/>
    <cellStyle name="Hyperlink 5 3" xfId="629"/>
    <cellStyle name="Hyperlink 6" xfId="497"/>
    <cellStyle name="Hyperlink 6 2" xfId="630"/>
    <cellStyle name="Hyperlink 7" xfId="498"/>
    <cellStyle name="Hyperlink 7 2" xfId="631"/>
    <cellStyle name="Hyperlink 8" xfId="626"/>
    <cellStyle name="Input" xfId="678" builtinId="20" customBuiltin="1"/>
    <cellStyle name="Input 2" xfId="499"/>
    <cellStyle name="Input 2 2" xfId="632"/>
    <cellStyle name="Linked Cell" xfId="681" builtinId="24" customBuiltin="1"/>
    <cellStyle name="Linked Cell 2" xfId="500"/>
    <cellStyle name="Neutral" xfId="677" builtinId="28" customBuiltin="1"/>
    <cellStyle name="Neutral 2" xfId="501"/>
    <cellStyle name="Neutral 2 2" xfId="633"/>
    <cellStyle name="Normal" xfId="0" builtinId="0"/>
    <cellStyle name="Normal 10" xfId="502"/>
    <cellStyle name="Normal 100" xfId="503"/>
    <cellStyle name="Normal 118" xfId="504"/>
    <cellStyle name="Normal 12" xfId="505"/>
    <cellStyle name="Normal 13" xfId="506"/>
    <cellStyle name="Normal 13 2" xfId="507"/>
    <cellStyle name="Normal 13 2 2" xfId="508"/>
    <cellStyle name="Normal 13 2 2 2" xfId="509"/>
    <cellStyle name="Normal 13 2 2 2 2" xfId="510"/>
    <cellStyle name="Normal 13 2 2 2 2 2" xfId="638"/>
    <cellStyle name="Normal 13 2 2 2 2 2 2" xfId="775"/>
    <cellStyle name="Normal 13 2 2 2 2 3" xfId="728"/>
    <cellStyle name="Normal 13 2 2 2 3" xfId="511"/>
    <cellStyle name="Normal 13 2 2 2 3 2" xfId="639"/>
    <cellStyle name="Normal 13 2 2 2 3 2 2" xfId="776"/>
    <cellStyle name="Normal 13 2 2 2 3 3" xfId="729"/>
    <cellStyle name="Normal 13 2 2 2 4" xfId="637"/>
    <cellStyle name="Normal 13 2 2 2 4 2" xfId="774"/>
    <cellStyle name="Normal 13 2 2 2 5" xfId="727"/>
    <cellStyle name="Normal 13 2 2 3" xfId="636"/>
    <cellStyle name="Normal 13 2 2 3 2" xfId="773"/>
    <cellStyle name="Normal 13 2 2 4" xfId="726"/>
    <cellStyle name="Normal 13 2 3" xfId="512"/>
    <cellStyle name="Normal 13 2 3 2" xfId="640"/>
    <cellStyle name="Normal 13 2 3 2 2" xfId="777"/>
    <cellStyle name="Normal 13 2 3 3" xfId="730"/>
    <cellStyle name="Normal 13 2 4" xfId="635"/>
    <cellStyle name="Normal 13 2 4 2" xfId="772"/>
    <cellStyle name="Normal 13 2 5" xfId="725"/>
    <cellStyle name="Normal 13 3" xfId="513"/>
    <cellStyle name="Normal 13 3 2" xfId="514"/>
    <cellStyle name="Normal 13 3 2 2" xfId="642"/>
    <cellStyle name="Normal 13 3 2 2 2" xfId="779"/>
    <cellStyle name="Normal 13 3 2 3" xfId="732"/>
    <cellStyle name="Normal 13 3 3" xfId="641"/>
    <cellStyle name="Normal 13 3 3 2" xfId="778"/>
    <cellStyle name="Normal 13 3 4" xfId="731"/>
    <cellStyle name="Normal 13 4" xfId="515"/>
    <cellStyle name="Normal 13 4 2" xfId="643"/>
    <cellStyle name="Normal 13 4 2 2" xfId="780"/>
    <cellStyle name="Normal 13 4 3" xfId="733"/>
    <cellStyle name="Normal 13 5" xfId="634"/>
    <cellStyle name="Normal 13 5 2" xfId="771"/>
    <cellStyle name="Normal 13 6" xfId="516"/>
    <cellStyle name="Normal 13 6 2" xfId="644"/>
    <cellStyle name="Normal 13 6 2 2" xfId="781"/>
    <cellStyle name="Normal 13 6 3" xfId="734"/>
    <cellStyle name="Normal 13 7" xfId="724"/>
    <cellStyle name="Normal 13 8" xfId="827"/>
    <cellStyle name="Normal 13 9" xfId="826"/>
    <cellStyle name="Normal 15" xfId="517"/>
    <cellStyle name="Normal 16" xfId="518"/>
    <cellStyle name="Normal 17" xfId="519"/>
    <cellStyle name="Normal 19" xfId="520"/>
    <cellStyle name="Normal 2" xfId="521"/>
    <cellStyle name="Normal 2 2" xfId="522"/>
    <cellStyle name="Normal 2 2 2" xfId="523"/>
    <cellStyle name="Normal 2 2 2 2" xfId="645"/>
    <cellStyle name="Normal 2 2 2 2 2" xfId="782"/>
    <cellStyle name="Normal 2 2 2 3" xfId="735"/>
    <cellStyle name="Normal 2 2 3" xfId="524"/>
    <cellStyle name="Normal 2 2 3 2" xfId="646"/>
    <cellStyle name="Normal 2 2 3 2 2" xfId="783"/>
    <cellStyle name="Normal 2 2 3 3" xfId="736"/>
    <cellStyle name="Normal 2 3" xfId="525"/>
    <cellStyle name="Normal 2 3 2" xfId="526"/>
    <cellStyle name="Normal 2 3 2 2" xfId="647"/>
    <cellStyle name="Normal 2 3 2 2 2" xfId="784"/>
    <cellStyle name="Normal 2 3 2 3" xfId="737"/>
    <cellStyle name="Normal 2 4" xfId="527"/>
    <cellStyle name="Normal 2 4 2" xfId="528"/>
    <cellStyle name="Normal 2 4 2 2" xfId="648"/>
    <cellStyle name="Normal 2 4 2 2 2" xfId="785"/>
    <cellStyle name="Normal 2 4 2 3" xfId="738"/>
    <cellStyle name="Normal 2 5" xfId="529"/>
    <cellStyle name="Normal 2 6" xfId="829"/>
    <cellStyle name="Normal 23" xfId="530"/>
    <cellStyle name="Normal 3" xfId="531"/>
    <cellStyle name="Normal 3 2" xfId="532"/>
    <cellStyle name="Normal 3 2 11" xfId="533"/>
    <cellStyle name="Normal 3 2 2" xfId="649"/>
    <cellStyle name="Normal 3 2 2 2" xfId="786"/>
    <cellStyle name="Normal 3 2 3" xfId="739"/>
    <cellStyle name="Normal 3 3" xfId="534"/>
    <cellStyle name="Normal 3 4" xfId="535"/>
    <cellStyle name="Normal 3 4 2" xfId="650"/>
    <cellStyle name="Normal 3 4 2 2" xfId="787"/>
    <cellStyle name="Normal 3 4 3" xfId="740"/>
    <cellStyle name="Normal 3 8" xfId="536"/>
    <cellStyle name="Normal 3 8 2" xfId="537"/>
    <cellStyle name="Normal 3 8 2 2" xfId="538"/>
    <cellStyle name="Normal 3 8 2 2 2" xfId="653"/>
    <cellStyle name="Normal 3 8 2 2 2 2" xfId="790"/>
    <cellStyle name="Normal 3 8 2 2 3" xfId="743"/>
    <cellStyle name="Normal 3 8 2 3" xfId="652"/>
    <cellStyle name="Normal 3 8 2 3 2" xfId="789"/>
    <cellStyle name="Normal 3 8 2 4" xfId="742"/>
    <cellStyle name="Normal 3 8 3" xfId="539"/>
    <cellStyle name="Normal 3 8 3 2" xfId="654"/>
    <cellStyle name="Normal 3 8 3 2 2" xfId="791"/>
    <cellStyle name="Normal 3 8 3 3" xfId="744"/>
    <cellStyle name="Normal 3 8 4" xfId="651"/>
    <cellStyle name="Normal 3 8 4 2" xfId="788"/>
    <cellStyle name="Normal 3 8 5" xfId="741"/>
    <cellStyle name="Normal 4" xfId="540"/>
    <cellStyle name="Normal 4 2" xfId="541"/>
    <cellStyle name="Normal 4 2 2" xfId="655"/>
    <cellStyle name="Normal 4 2 2 2" xfId="792"/>
    <cellStyle name="Normal 4 2 3" xfId="745"/>
    <cellStyle name="Normal 4 3" xfId="542"/>
    <cellStyle name="Normal 4 4" xfId="543"/>
    <cellStyle name="Normal 4 4 2" xfId="656"/>
    <cellStyle name="Normal 4 4 2 2" xfId="793"/>
    <cellStyle name="Normal 4 4 3" xfId="746"/>
    <cellStyle name="Normal 416" xfId="544"/>
    <cellStyle name="Normal 417" xfId="545"/>
    <cellStyle name="Normal 428" xfId="546"/>
    <cellStyle name="Normal 429" xfId="547"/>
    <cellStyle name="Normal 486" xfId="548"/>
    <cellStyle name="Normal 487" xfId="549"/>
    <cellStyle name="Normal 489" xfId="550"/>
    <cellStyle name="Normal 490" xfId="551"/>
    <cellStyle name="Normal 5" xfId="552"/>
    <cellStyle name="Normal 5 2" xfId="553"/>
    <cellStyle name="Normal 5 3" xfId="554"/>
    <cellStyle name="Normal 5 3 2" xfId="657"/>
    <cellStyle name="Normal 5 3 2 2" xfId="794"/>
    <cellStyle name="Normal 5 3 3" xfId="747"/>
    <cellStyle name="Normal 506" xfId="555"/>
    <cellStyle name="Normal 516" xfId="556"/>
    <cellStyle name="Normal 517" xfId="557"/>
    <cellStyle name="Normal 53" xfId="558"/>
    <cellStyle name="Normal 54" xfId="559"/>
    <cellStyle name="Normal 542" xfId="560"/>
    <cellStyle name="Normal 543" xfId="561"/>
    <cellStyle name="Normal 544" xfId="562"/>
    <cellStyle name="Normal 547" xfId="563"/>
    <cellStyle name="Normal 548" xfId="564"/>
    <cellStyle name="Normal 550" xfId="565"/>
    <cellStyle name="Normal 571" xfId="566"/>
    <cellStyle name="Normal 572" xfId="567"/>
    <cellStyle name="Normal 6" xfId="568"/>
    <cellStyle name="Normal 6 2" xfId="569"/>
    <cellStyle name="Normal 6 2 2" xfId="659"/>
    <cellStyle name="Normal 6 2 2 2" xfId="796"/>
    <cellStyle name="Normal 6 2 3" xfId="749"/>
    <cellStyle name="Normal 6 3" xfId="570"/>
    <cellStyle name="Normal 6 4" xfId="658"/>
    <cellStyle name="Normal 6 4 2" xfId="795"/>
    <cellStyle name="Normal 6 5" xfId="748"/>
    <cellStyle name="Normal 7" xfId="571"/>
    <cellStyle name="Normal 7 2" xfId="572"/>
    <cellStyle name="Normal 8" xfId="573"/>
    <cellStyle name="Normal 9" xfId="710"/>
    <cellStyle name="Normal 9 2" xfId="824"/>
    <cellStyle name="Normal_Sheet1" xfId="574"/>
    <cellStyle name="Note 2" xfId="575"/>
    <cellStyle name="Note 2 2" xfId="660"/>
    <cellStyle name="Note 2 2 2" xfId="797"/>
    <cellStyle name="Note 2 3" xfId="750"/>
    <cellStyle name="Note 3" xfId="711"/>
    <cellStyle name="Note 3 2" xfId="825"/>
    <cellStyle name="Output" xfId="679" builtinId="21" customBuiltin="1"/>
    <cellStyle name="Output 2" xfId="576"/>
    <cellStyle name="Output 2 2" xfId="661"/>
    <cellStyle name="Percent" xfId="1"/>
    <cellStyle name="Percent 2" xfId="577"/>
    <cellStyle name="Standard 3" xfId="578"/>
    <cellStyle name="Standard 4" xfId="579"/>
    <cellStyle name="Standard 4 2" xfId="580"/>
    <cellStyle name="Standard 4 2 2" xfId="581"/>
    <cellStyle name="Standard 4 2 2 2" xfId="582"/>
    <cellStyle name="Standard 4 2 2 2 2" xfId="665"/>
    <cellStyle name="Standard 4 2 2 2 2 2" xfId="801"/>
    <cellStyle name="Standard 4 2 2 2 3" xfId="754"/>
    <cellStyle name="Standard 4 2 2 3" xfId="664"/>
    <cellStyle name="Standard 4 2 2 3 2" xfId="800"/>
    <cellStyle name="Standard 4 2 2 4" xfId="753"/>
    <cellStyle name="Standard 4 2 3" xfId="583"/>
    <cellStyle name="Standard 4 2 3 2" xfId="666"/>
    <cellStyle name="Standard 4 2 3 2 2" xfId="802"/>
    <cellStyle name="Standard 4 2 3 3" xfId="755"/>
    <cellStyle name="Standard 4 2 4" xfId="663"/>
    <cellStyle name="Standard 4 2 4 2" xfId="799"/>
    <cellStyle name="Standard 4 2 5" xfId="752"/>
    <cellStyle name="Standard 4 3" xfId="584"/>
    <cellStyle name="Standard 4 3 2" xfId="585"/>
    <cellStyle name="Standard 4 3 2 2" xfId="668"/>
    <cellStyle name="Standard 4 3 2 2 2" xfId="804"/>
    <cellStyle name="Standard 4 3 2 3" xfId="757"/>
    <cellStyle name="Standard 4 3 3" xfId="667"/>
    <cellStyle name="Standard 4 3 3 2" xfId="803"/>
    <cellStyle name="Standard 4 3 4" xfId="756"/>
    <cellStyle name="Standard 4 4" xfId="586"/>
    <cellStyle name="Standard 4 4 2" xfId="669"/>
    <cellStyle name="Standard 4 4 2 2" xfId="805"/>
    <cellStyle name="Standard 4 4 3" xfId="758"/>
    <cellStyle name="Standard 4 5" xfId="662"/>
    <cellStyle name="Standard 4 5 2" xfId="798"/>
    <cellStyle name="Standard 4 6" xfId="751"/>
    <cellStyle name="Standard 6" xfId="587"/>
    <cellStyle name="Title" xfId="670" builtinId="15" customBuiltin="1"/>
    <cellStyle name="Title 2" xfId="588"/>
    <cellStyle name="Total" xfId="685" builtinId="25" customBuiltin="1"/>
    <cellStyle name="Total 2" xfId="589"/>
    <cellStyle name="Warning Text" xfId="683" builtinId="11" customBuiltin="1"/>
    <cellStyle name="Warning Text 2" xfId="590"/>
    <cellStyle name="표준 2" xfId="591"/>
    <cellStyle name="一般 7" xfId="592"/>
    <cellStyle name="標準 2" xfId="593"/>
    <cellStyle name="標準 2 2" xfId="594"/>
    <cellStyle name="標準 2 3" xfId="595"/>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basler.com/About-Us/Supplier-Information" TargetMode="External"/><Relationship Id="rId2" Type="http://schemas.openxmlformats.org/officeDocument/2006/relationships/hyperlink" Target="mailto:johnmollett@basler.com" TargetMode="External"/><Relationship Id="rId1" Type="http://schemas.openxmlformats.org/officeDocument/2006/relationships/hyperlink" Target="mailto:johnmollett@basler.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91"/>
  <sheetViews>
    <sheetView showGridLines="0" workbookViewId="0"/>
  </sheetViews>
  <sheetFormatPr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65"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649999999999999"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650000000000006"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45">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6.149999999999999"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2.1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65"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4.15" customHeight="1">
      <c r="A57" s="93" t="str">
        <f ca="1">OFFSET(L!$C$1,MATCH("Instructions"&amp;ADDRESS(ROW(),COLUMN(),4),L!$A:$A,0)-1,SL,,)</f>
        <v>10. Smelter Location: State/Province, if applicable – Provide the state or province where the smelter is located. This field is optional.</v>
      </c>
      <c r="B57" s="179"/>
    </row>
    <row r="58" spans="1:2" ht="16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105">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367"/>
  <sheetViews>
    <sheetView zoomScaleNormal="100" workbookViewId="0">
      <selection activeCell="A2" sqref="A2"/>
    </sheetView>
  </sheetViews>
  <sheetFormatPr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4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64999999999998"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28.25">
      <c r="A9" s="126" t="str">
        <f t="shared" ref="A9" si="1">B9&amp;C9</f>
        <v>InstructionsA9</v>
      </c>
      <c r="B9" s="126" t="s">
        <v>367</v>
      </c>
      <c r="C9" s="126" t="s">
        <v>395</v>
      </c>
      <c r="D9" s="126" t="s">
        <v>19324</v>
      </c>
      <c r="E9" s="240" t="s">
        <v>19482</v>
      </c>
      <c r="F9" s="241" t="s">
        <v>19959</v>
      </c>
      <c r="G9" s="126" t="s">
        <v>19960</v>
      </c>
      <c r="H9" s="276" t="s">
        <v>19961</v>
      </c>
      <c r="I9" s="100" t="s">
        <v>19962</v>
      </c>
    </row>
    <row r="10" spans="1:9" ht="57">
      <c r="A10" s="126" t="str">
        <f t="shared" si="0"/>
        <v>InstructionsA10</v>
      </c>
      <c r="B10" s="126" t="s">
        <v>367</v>
      </c>
      <c r="C10" s="126" t="s">
        <v>396</v>
      </c>
      <c r="D10" s="126" t="s">
        <v>19325</v>
      </c>
      <c r="E10" s="240" t="s">
        <v>19991</v>
      </c>
      <c r="F10" s="241" t="s">
        <v>20003</v>
      </c>
      <c r="G10" s="126" t="s">
        <v>20015</v>
      </c>
      <c r="H10" s="276" t="s">
        <v>20027</v>
      </c>
      <c r="I10" s="126" t="s">
        <v>20040</v>
      </c>
    </row>
    <row r="11" spans="1:9" ht="40.5">
      <c r="A11" s="126" t="str">
        <f>B11&amp;C11</f>
        <v>InstructionsA11</v>
      </c>
      <c r="B11" s="126" t="s">
        <v>367</v>
      </c>
      <c r="C11" s="126" t="s">
        <v>397</v>
      </c>
      <c r="D11" s="126" t="s">
        <v>19326</v>
      </c>
      <c r="E11" s="240" t="s">
        <v>19992</v>
      </c>
      <c r="F11" s="241" t="s">
        <v>20004</v>
      </c>
      <c r="G11" s="126" t="s">
        <v>20016</v>
      </c>
      <c r="H11" s="276" t="s">
        <v>20028</v>
      </c>
      <c r="I11" s="126" t="s">
        <v>20039</v>
      </c>
    </row>
    <row r="12" spans="1:9" ht="4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99.75">
      <c r="A16" s="126" t="str">
        <f t="shared" si="0"/>
        <v>InstructionsA16</v>
      </c>
      <c r="B16" s="126" t="s">
        <v>367</v>
      </c>
      <c r="C16" s="126" t="s">
        <v>402</v>
      </c>
      <c r="D16" s="126" t="s">
        <v>19331</v>
      </c>
      <c r="E16" s="240" t="s">
        <v>19997</v>
      </c>
      <c r="F16" s="241" t="s">
        <v>20009</v>
      </c>
      <c r="G16" s="126" t="s">
        <v>20021</v>
      </c>
      <c r="H16" s="276" t="s">
        <v>20033</v>
      </c>
      <c r="I16" s="126" t="s">
        <v>20045</v>
      </c>
    </row>
    <row r="17" spans="1:9" ht="45">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4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114">
      <c r="A25" s="126" t="str">
        <f t="shared" si="0"/>
        <v>InstructionsA26</v>
      </c>
      <c r="B25" s="126" t="s">
        <v>367</v>
      </c>
      <c r="C25" s="126" t="s">
        <v>415</v>
      </c>
      <c r="D25" s="126" t="s">
        <v>19259</v>
      </c>
      <c r="E25" s="240" t="s">
        <v>19488</v>
      </c>
      <c r="F25" s="271" t="s">
        <v>19492</v>
      </c>
      <c r="G25" s="126" t="s">
        <v>19489</v>
      </c>
      <c r="H25" s="276" t="s">
        <v>19490</v>
      </c>
      <c r="I25" s="126" t="s">
        <v>19491</v>
      </c>
    </row>
    <row r="26" spans="1:9" ht="256.5">
      <c r="A26" s="126" t="str">
        <f t="shared" si="0"/>
        <v>InstructionsA27</v>
      </c>
      <c r="B26" s="126" t="s">
        <v>367</v>
      </c>
      <c r="C26" s="126" t="s">
        <v>416</v>
      </c>
      <c r="D26" s="126" t="s">
        <v>19493</v>
      </c>
      <c r="E26" s="244" t="s">
        <v>19494</v>
      </c>
      <c r="F26" s="271" t="s">
        <v>19871</v>
      </c>
      <c r="G26" s="126" t="s">
        <v>19506</v>
      </c>
      <c r="H26" s="276" t="s">
        <v>19495</v>
      </c>
      <c r="I26" s="126" t="s">
        <v>19496</v>
      </c>
    </row>
    <row r="27" spans="1:9" ht="57">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70.7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56.75">
      <c r="A32" s="126" t="str">
        <f t="shared" si="2"/>
        <v>InstructionsA33</v>
      </c>
      <c r="B32" s="126" t="s">
        <v>367</v>
      </c>
      <c r="C32" s="126" t="s">
        <v>427</v>
      </c>
      <c r="D32" s="126" t="s">
        <v>19263</v>
      </c>
      <c r="E32" s="381" t="s">
        <v>19507</v>
      </c>
      <c r="F32" s="245" t="s">
        <v>19884</v>
      </c>
      <c r="G32" s="126" t="s">
        <v>19508</v>
      </c>
      <c r="H32" s="276" t="s">
        <v>19509</v>
      </c>
      <c r="I32" s="126" t="s">
        <v>19510</v>
      </c>
    </row>
    <row r="33" spans="1:9" ht="156.7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327.7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4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28">
      <c r="A41" s="126" t="str">
        <f>B41&amp;C41</f>
        <v>InstructionsA43</v>
      </c>
      <c r="B41" s="126" t="s">
        <v>367</v>
      </c>
      <c r="C41" s="126" t="s">
        <v>454</v>
      </c>
      <c r="D41" s="126" t="s">
        <v>449</v>
      </c>
      <c r="E41" s="240" t="s">
        <v>450</v>
      </c>
      <c r="F41" s="271" t="s">
        <v>451</v>
      </c>
      <c r="G41" s="126" t="s">
        <v>452</v>
      </c>
      <c r="H41" s="276" t="s">
        <v>453</v>
      </c>
      <c r="I41" s="126" t="s">
        <v>18447</v>
      </c>
    </row>
    <row r="42" spans="1:9" ht="99.7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85.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71">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99.7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70.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213.7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85.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28.25">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99.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27.75">
      <c r="A77" s="126" t="str">
        <f t="shared" si="0"/>
        <v>InstructionsA83</v>
      </c>
      <c r="B77" s="126" t="s">
        <v>367</v>
      </c>
      <c r="C77" s="126" t="s">
        <v>19476</v>
      </c>
      <c r="D77" s="126" t="s">
        <v>572</v>
      </c>
      <c r="E77" s="240" t="s">
        <v>573</v>
      </c>
      <c r="F77" s="241" t="s">
        <v>574</v>
      </c>
      <c r="G77" s="251" t="s">
        <v>575</v>
      </c>
      <c r="H77" s="276" t="s">
        <v>576</v>
      </c>
      <c r="I77" s="126" t="s">
        <v>18473</v>
      </c>
    </row>
    <row r="78" spans="1:9" ht="185.25">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ht="15">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213.75">
      <c r="A113" s="126" t="str">
        <f t="shared" si="7"/>
        <v>DefinitionsC5</v>
      </c>
      <c r="B113" s="126" t="s">
        <v>607</v>
      </c>
      <c r="C113" s="126" t="s">
        <v>739</v>
      </c>
      <c r="D113" s="126" t="s">
        <v>740</v>
      </c>
      <c r="E113" s="240" t="s">
        <v>741</v>
      </c>
      <c r="F113" s="241" t="s">
        <v>742</v>
      </c>
      <c r="G113" s="126" t="s">
        <v>743</v>
      </c>
      <c r="H113" s="276" t="s">
        <v>744</v>
      </c>
      <c r="I113" s="126" t="s">
        <v>18495</v>
      </c>
    </row>
    <row r="114" spans="1:9" ht="128.25">
      <c r="A114" s="126" t="str">
        <f t="shared" si="7"/>
        <v>DefinitionsC6</v>
      </c>
      <c r="B114" s="126" t="s">
        <v>607</v>
      </c>
      <c r="C114" s="126" t="s">
        <v>745</v>
      </c>
      <c r="D114" s="126" t="s">
        <v>19314</v>
      </c>
      <c r="E114" s="240" t="s">
        <v>19344</v>
      </c>
      <c r="F114" s="241" t="s">
        <v>19899</v>
      </c>
      <c r="G114" s="126" t="s">
        <v>19345</v>
      </c>
      <c r="H114" s="276" t="s">
        <v>19346</v>
      </c>
      <c r="I114" s="126" t="s">
        <v>19347</v>
      </c>
    </row>
    <row r="115" spans="1:9" ht="185.25">
      <c r="A115" s="126" t="str">
        <f t="shared" si="7"/>
        <v>DefinitionsC7</v>
      </c>
      <c r="B115" s="126" t="s">
        <v>607</v>
      </c>
      <c r="C115" s="126" t="s">
        <v>751</v>
      </c>
      <c r="D115" s="126" t="s">
        <v>746</v>
      </c>
      <c r="E115" s="240" t="s">
        <v>747</v>
      </c>
      <c r="F115" s="241" t="s">
        <v>748</v>
      </c>
      <c r="G115" s="126" t="s">
        <v>749</v>
      </c>
      <c r="H115" s="276" t="s">
        <v>750</v>
      </c>
      <c r="I115" s="126" t="s">
        <v>18496</v>
      </c>
    </row>
    <row r="116" spans="1:9" ht="156.7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56.7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71">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42.25">
      <c r="A122" s="126" t="str">
        <f t="shared" si="7"/>
        <v>DefinitionsC14</v>
      </c>
      <c r="B122" s="126" t="s">
        <v>607</v>
      </c>
      <c r="C122" s="126" t="s">
        <v>783</v>
      </c>
      <c r="D122" s="126" t="s">
        <v>765</v>
      </c>
      <c r="E122" s="240" t="s">
        <v>766</v>
      </c>
      <c r="F122" s="241" t="s">
        <v>767</v>
      </c>
      <c r="G122" s="126" t="s">
        <v>768</v>
      </c>
      <c r="H122" s="276" t="s">
        <v>769</v>
      </c>
      <c r="I122" s="126" t="s">
        <v>18500</v>
      </c>
    </row>
    <row r="123" spans="1:9" ht="41.6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6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4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99.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42.25">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42.7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57">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54">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ht="28.5">
      <c r="A196" s="126" t="str">
        <f t="shared" si="10"/>
        <v>Smelter ListC4</v>
      </c>
      <c r="B196" s="126" t="s">
        <v>1078</v>
      </c>
      <c r="C196" s="126" t="s">
        <v>733</v>
      </c>
      <c r="D196" s="126" t="s">
        <v>1030</v>
      </c>
      <c r="E196" s="274" t="s">
        <v>1031</v>
      </c>
      <c r="F196" s="271" t="s">
        <v>1032</v>
      </c>
      <c r="G196" s="126" t="s">
        <v>1033</v>
      </c>
      <c r="H196" s="276" t="s">
        <v>1034</v>
      </c>
      <c r="I196" s="188" t="s">
        <v>18550</v>
      </c>
    </row>
    <row r="197" spans="1:9" ht="28.5">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ht="28.5">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ht="28.5">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ht="28.5">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ht="28.5">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6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4"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9.1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2.1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2.15" customHeight="1">
      <c r="A295" s="126" t="str">
        <f t="shared" si="12"/>
        <v>CheckerJ78</v>
      </c>
      <c r="B295" s="126" t="s">
        <v>1154</v>
      </c>
      <c r="C295" s="126" t="s">
        <v>18981</v>
      </c>
      <c r="G295"/>
      <c r="H295" s="276"/>
    </row>
    <row r="296" spans="1:9" ht="52.15" customHeight="1">
      <c r="A296" s="126" t="str">
        <f t="shared" si="12"/>
        <v>CheckerJ79</v>
      </c>
      <c r="B296" s="126" t="s">
        <v>1154</v>
      </c>
      <c r="C296" s="126" t="s">
        <v>18982</v>
      </c>
      <c r="G296"/>
      <c r="H296" s="276"/>
    </row>
    <row r="297" spans="1:9" ht="52.1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4"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6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65"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1.1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99.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customSheetViews>
    <customSheetView guid="{4BDF1A28-30D5-449D-B20E-D6C97EF9FAE1}" showAutoFilter="1">
      <selection activeCell="C174" sqref="C174"/>
      <pageMargins left="0" right="0" top="0" bottom="0" header="0" footer="0"/>
      <pageSetup paperSize="9" orientation="portrait"/>
      <autoFilter ref="B1:N1"/>
    </customSheetView>
    <customSheetView guid="{C59130F4-2E03-5E48-94CE-6E4A0484DB9E}" showAutoFilter="1">
      <selection activeCell="E4" sqref="E4"/>
      <pageMargins left="0" right="0" top="0" bottom="0" header="0" footer="0"/>
      <pageSetup paperSize="9" orientation="portrait"/>
      <headerFooter alignWithMargins="0"/>
      <autoFilter ref="B1:N1"/>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H23" sqref="H23"/>
    </sheetView>
  </sheetViews>
  <sheetFormatPr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customSheetView>
    <customSheetView guid="{C59130F4-2E03-5E48-94CE-6E4A0484DB9E}" showAutoFilter="1">
      <selection activeCell="C1" sqref="C1:D65536"/>
      <pageMargins left="0" right="0" top="0" bottom="0" header="0" footer="0"/>
      <pageSetup orientation="portrait"/>
      <headerFooter alignWithMargins="0"/>
      <autoFilter ref="B1:C1"/>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showGridLines="0" topLeftCell="A2" workbookViewId="0">
      <pane xSplit="1" ySplit="11" topLeftCell="B22" activePane="bottomRight" state="frozen"/>
      <selection pane="topRight" activeCell="B24" sqref="B24:J24"/>
      <selection pane="bottomLeft" activeCell="B24" sqref="B24:J24"/>
      <selection pane="bottomRight" activeCell="B20" sqref="B20"/>
    </sheetView>
  </sheetViews>
  <sheetFormatPr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ht="22.5">
      <c r="A12" s="387"/>
      <c r="B12" s="173" t="s">
        <v>7</v>
      </c>
      <c r="C12" s="174" t="s">
        <v>8</v>
      </c>
      <c r="D12" s="175" t="s">
        <v>9</v>
      </c>
      <c r="E12" s="174" t="s">
        <v>10</v>
      </c>
      <c r="F12" s="174" t="s">
        <v>11</v>
      </c>
      <c r="G12" s="24"/>
    </row>
    <row r="13" spans="1:7" ht="67.5">
      <c r="A13" s="387"/>
      <c r="B13" s="287">
        <v>1</v>
      </c>
      <c r="C13" s="225" t="s">
        <v>12</v>
      </c>
      <c r="D13" s="226">
        <v>44489</v>
      </c>
      <c r="E13" s="225" t="s">
        <v>12182</v>
      </c>
      <c r="F13" s="227" t="s">
        <v>12191</v>
      </c>
      <c r="G13" s="24"/>
    </row>
    <row r="14" spans="1:7" ht="67.5">
      <c r="A14" s="387"/>
      <c r="B14" s="224">
        <v>1.01</v>
      </c>
      <c r="C14" s="225" t="s">
        <v>12</v>
      </c>
      <c r="D14" s="226">
        <v>44523</v>
      </c>
      <c r="E14" s="225" t="s">
        <v>12183</v>
      </c>
      <c r="F14" s="227" t="s">
        <v>12191</v>
      </c>
      <c r="G14" s="24"/>
    </row>
    <row r="15" spans="1:7" ht="67.5">
      <c r="A15" s="387"/>
      <c r="B15" s="224">
        <v>1.02</v>
      </c>
      <c r="C15" s="225" t="s">
        <v>12</v>
      </c>
      <c r="D15" s="226">
        <v>44553</v>
      </c>
      <c r="E15" s="225" t="s">
        <v>12184</v>
      </c>
      <c r="F15" s="227" t="s">
        <v>12191</v>
      </c>
      <c r="G15" s="24"/>
    </row>
    <row r="16" spans="1:7" ht="90">
      <c r="A16" s="387"/>
      <c r="B16" s="224">
        <v>1.1000000000000001</v>
      </c>
      <c r="C16" s="225" t="s">
        <v>12</v>
      </c>
      <c r="D16" s="226">
        <v>44848</v>
      </c>
      <c r="E16" s="225" t="s">
        <v>12185</v>
      </c>
      <c r="F16" s="227" t="s">
        <v>12192</v>
      </c>
      <c r="G16" s="24"/>
    </row>
    <row r="17" spans="1:7" ht="56.25">
      <c r="A17" s="387"/>
      <c r="B17" s="224">
        <v>1.1100000000000001</v>
      </c>
      <c r="C17" s="225" t="s">
        <v>12</v>
      </c>
      <c r="D17" s="226">
        <v>44869</v>
      </c>
      <c r="E17" s="225" t="s">
        <v>12186</v>
      </c>
      <c r="F17" s="227" t="s">
        <v>12192</v>
      </c>
      <c r="G17" s="24"/>
    </row>
    <row r="18" spans="1:7" ht="56.25">
      <c r="A18" s="387"/>
      <c r="B18" s="224">
        <v>1.2</v>
      </c>
      <c r="C18" s="225" t="s">
        <v>12</v>
      </c>
      <c r="D18" s="226">
        <v>45058</v>
      </c>
      <c r="E18" s="225" t="s">
        <v>12235</v>
      </c>
      <c r="F18" s="227" t="s">
        <v>12193</v>
      </c>
      <c r="G18" s="24"/>
    </row>
    <row r="19" spans="1:7" ht="56.25">
      <c r="A19" s="387"/>
      <c r="B19" s="224">
        <v>1.3</v>
      </c>
      <c r="C19" s="225" t="s">
        <v>12</v>
      </c>
      <c r="D19" s="226">
        <v>45408</v>
      </c>
      <c r="E19" s="288" t="s">
        <v>18595</v>
      </c>
      <c r="F19" s="227" t="s">
        <v>12236</v>
      </c>
      <c r="G19" s="24"/>
    </row>
    <row r="20" spans="1:7" ht="56.25">
      <c r="A20" s="387"/>
      <c r="B20" s="293" t="s">
        <v>18598</v>
      </c>
      <c r="C20" s="225" t="s">
        <v>12</v>
      </c>
      <c r="D20" s="226">
        <v>45772</v>
      </c>
      <c r="E20" s="288" t="s">
        <v>19154</v>
      </c>
      <c r="F20" s="227" t="s">
        <v>19278</v>
      </c>
      <c r="G20" s="24"/>
    </row>
    <row r="21" spans="1:7" ht="13.5" thickBot="1">
      <c r="A21" s="388"/>
      <c r="B21" s="392" t="str">
        <f ca="1">OFFSET(L!$C$1,MATCH("General"&amp;"Cpy",L!$A:$A,0)-1,SL,,)</f>
        <v>© 2025 Responsible Minerals Initiative. All rights reserved.</v>
      </c>
      <c r="C21" s="392"/>
      <c r="D21" s="392"/>
      <c r="E21" s="392"/>
      <c r="F21" s="392"/>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ITEM</v>
      </c>
      <c r="C2" s="177" t="str">
        <f ca="1">OFFSET(L!$C$1,MATCH("Definitions"&amp;ADDRESS(ROW(),COLUMN(),4),L!$A:$A,0)-1,SL,,)</f>
        <v>DEFINITION</v>
      </c>
      <c r="D2" s="397"/>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90">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20">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30">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10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4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20">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50">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5">
      <c r="A28" s="176"/>
      <c r="B28" s="399" t="str">
        <f ca="1">OFFSET(L!$C$1,MATCH("Definitions"&amp;ADDRESS(ROW(),COLUMN(),4),L!$A:$A,0)-1,SL,,)</f>
        <v>* Please consult the EMRT Completion Guide for additional details on primary and secondary sources for this mineral.</v>
      </c>
      <c r="C28" s="399"/>
      <c r="D28" s="397"/>
      <c r="E28" s="179"/>
    </row>
    <row r="29" spans="1:5" ht="15">
      <c r="A29" s="176"/>
      <c r="B29" s="396" t="str">
        <f ca="1">OFFSET(L!$C$1,MATCH("General"&amp;"Cpy",L!$A:$A,0)-1,SL,,)</f>
        <v>© 2025 Responsible Minerals Initiative. All rights reserved.</v>
      </c>
      <c r="C29" s="396"/>
      <c r="D29" s="397"/>
      <c r="E29" s="179"/>
    </row>
    <row r="30" spans="1:5" ht="13.5" thickBot="1">
      <c r="A30" s="180"/>
      <c r="B30" s="181"/>
      <c r="C30" s="181"/>
      <c r="D30" s="398"/>
    </row>
    <row r="31" spans="1:5" ht="13.5"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89"/>
  <sheetViews>
    <sheetView showGridLines="0" showZeros="0" tabSelected="1" zoomScale="70" zoomScaleNormal="70" workbookViewId="0">
      <selection activeCell="G137" sqref="G137:J137"/>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03"/>
      <c r="B1" s="404"/>
      <c r="C1" s="404"/>
      <c r="D1" s="404"/>
      <c r="E1" s="404"/>
      <c r="F1" s="404"/>
      <c r="G1" s="404"/>
      <c r="H1" s="404"/>
      <c r="I1" s="404"/>
      <c r="J1" s="404"/>
      <c r="K1" s="405"/>
      <c r="L1" s="102"/>
      <c r="P1" s="2"/>
      <c r="Q1" s="2"/>
      <c r="R1" s="2"/>
      <c r="S1" s="2"/>
      <c r="T1" s="2"/>
      <c r="U1" s="2"/>
      <c r="V1" s="2"/>
      <c r="W1" s="2"/>
      <c r="X1" s="2"/>
      <c r="Y1" s="2"/>
      <c r="Z1" s="2"/>
      <c r="AA1" s="2"/>
      <c r="AB1" s="2"/>
      <c r="AC1" s="2"/>
      <c r="AD1" s="2"/>
      <c r="AE1" s="2"/>
      <c r="AF1" s="2"/>
      <c r="AG1" s="2"/>
      <c r="AH1" s="2"/>
    </row>
    <row r="2" spans="1:34" ht="81.75" customHeight="1">
      <c r="A2" s="27"/>
      <c r="B2" s="283"/>
      <c r="C2" s="28"/>
      <c r="D2" s="406" t="str">
        <f ca="1">OFFSET(L!$C$1,MATCH("Declaration"&amp;ADDRESS(ROW(),COLUMN(),4),L!$A:$A,0)-1,SL,,)</f>
        <v>Extended Mineral Reporting Template (EMRT)</v>
      </c>
      <c r="E2" s="407"/>
      <c r="F2" s="407"/>
      <c r="G2" s="407"/>
      <c r="H2" s="407"/>
      <c r="I2" s="407"/>
      <c r="J2" s="408"/>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42"/>
      <c r="F3" s="443"/>
      <c r="G3" s="443"/>
      <c r="H3" s="443"/>
      <c r="I3" s="443"/>
      <c r="J3" s="190" t="s">
        <v>19342</v>
      </c>
      <c r="K3" s="29"/>
      <c r="L3" s="102"/>
      <c r="P3" s="38">
        <f>MATCH($D$3,LN,0)</f>
        <v>1</v>
      </c>
    </row>
    <row r="4" spans="1:34" ht="15.75">
      <c r="A4" s="27"/>
      <c r="B4" s="415" t="str">
        <f ca="1">OFFSET(L!$C$1,MATCH("Declaration"&amp;ADDRESS(ROW(),COLUMN(),4),L!$A:$A,0)-1,SL,,)</f>
        <v>The purpose of this document is to collect sourcing information on below minerals.</v>
      </c>
      <c r="C4" s="415"/>
      <c r="D4" s="415"/>
      <c r="E4" s="415"/>
      <c r="F4" s="415"/>
      <c r="G4" s="415"/>
      <c r="H4" s="415"/>
      <c r="I4" s="419" t="str">
        <f ca="1">OFFSET(L!$C$1,MATCH("Declaration"&amp;ADDRESS(ROW(),COLUMN(),4),L!$A:$A,0)-1,SL,,)</f>
        <v>Link to Terms &amp; Conditions</v>
      </c>
      <c r="J4" s="419"/>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29"/>
      <c r="L6" s="104" t="s">
        <v>18</v>
      </c>
      <c r="P6" s="2"/>
      <c r="Q6" s="2"/>
      <c r="R6" s="2"/>
      <c r="S6" s="2"/>
      <c r="T6" s="2"/>
      <c r="U6" s="2"/>
      <c r="V6" s="2"/>
      <c r="W6" s="2"/>
      <c r="X6" s="2"/>
      <c r="Y6" s="2"/>
      <c r="Z6" s="2"/>
      <c r="AA6" s="2"/>
      <c r="AB6" s="2"/>
      <c r="AC6" s="2"/>
      <c r="AD6" s="2"/>
      <c r="AE6" s="2"/>
      <c r="AF6" s="2"/>
      <c r="AG6" s="2"/>
      <c r="AH6" s="2"/>
    </row>
    <row r="7" spans="1:34" ht="15.75">
      <c r="A7" s="27"/>
      <c r="B7" s="420" t="str">
        <f ca="1">OFFSET(L!$C$1,MATCH("Declaration"&amp;ADDRESS(ROW(),COLUMN(),4),L!$A:$A,0)-1,SL,,)</f>
        <v>Company Information</v>
      </c>
      <c r="C7" s="420"/>
      <c r="D7" s="420"/>
      <c r="E7" s="420"/>
      <c r="F7" s="420"/>
      <c r="G7" s="420"/>
      <c r="H7" s="420"/>
      <c r="I7" s="420"/>
      <c r="J7" s="420"/>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09" t="s">
        <v>20051</v>
      </c>
      <c r="E8" s="410"/>
      <c r="F8" s="410"/>
      <c r="G8" s="410"/>
      <c r="H8" s="410"/>
      <c r="I8" s="410"/>
      <c r="J8" s="411"/>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Declaration Scope or Class (*):</v>
      </c>
      <c r="C9" s="66"/>
      <c r="D9" s="445" t="s">
        <v>19</v>
      </c>
      <c r="E9" s="446"/>
      <c r="F9" s="446"/>
      <c r="G9" s="447"/>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21" t="str">
        <f ca="1">OFFSET(L!$C$1,MATCH("Declaration"&amp;ADDRESS(ROW(),COLUMN(),4)&amp;LEFT($D$9,1),L!$A:$A,0)-1,SL,,)</f>
        <v>Description of Scope:</v>
      </c>
      <c r="C10" s="112"/>
      <c r="D10" s="416"/>
      <c r="E10" s="417"/>
      <c r="F10" s="417"/>
      <c r="G10" s="417"/>
      <c r="H10" s="417"/>
      <c r="I10" s="417"/>
      <c r="J10" s="418"/>
      <c r="K10" s="29"/>
      <c r="L10" s="104"/>
      <c r="Q10" s="2"/>
      <c r="R10" s="2"/>
      <c r="S10" s="2"/>
      <c r="T10" s="2"/>
      <c r="U10" s="2"/>
      <c r="V10" s="2"/>
      <c r="W10" s="2"/>
      <c r="X10" s="2"/>
      <c r="Y10" s="2"/>
      <c r="Z10" s="2"/>
      <c r="AA10" s="2"/>
      <c r="AB10" s="2"/>
      <c r="AC10" s="2"/>
      <c r="AD10" s="2"/>
      <c r="AE10" s="2"/>
      <c r="AF10" s="2"/>
      <c r="AG10" s="2"/>
      <c r="AH10" s="2"/>
    </row>
    <row r="11" spans="1:34" ht="15.75">
      <c r="A11" s="31"/>
      <c r="B11" s="422"/>
      <c r="C11" s="112"/>
      <c r="D11" s="423" t="str">
        <f ca="1">IF(D9=Q9,OFFSET(L!$C$1,MATCH("Declaration"&amp;ADDRESS(ROW(),COLUMN(),4),L!$A:$A,0)-1,SL,,),"")</f>
        <v/>
      </c>
      <c r="E11" s="424"/>
      <c r="F11" s="424"/>
      <c r="G11" s="424"/>
      <c r="H11" s="424"/>
      <c r="I11" s="424"/>
      <c r="J11" s="425"/>
      <c r="K11" s="29"/>
      <c r="L11" s="104"/>
      <c r="Q11" s="2"/>
      <c r="R11" s="2"/>
      <c r="S11" s="2"/>
      <c r="T11" s="2"/>
      <c r="U11" s="2"/>
      <c r="V11" s="2"/>
      <c r="W11" s="2"/>
      <c r="X11" s="2"/>
      <c r="Y11" s="2"/>
      <c r="Z11" s="2"/>
      <c r="AA11" s="368" t="s">
        <v>19145</v>
      </c>
      <c r="AB11" s="2"/>
      <c r="AC11" s="2"/>
      <c r="AD11" s="2"/>
      <c r="AE11" s="2"/>
      <c r="AF11" s="2"/>
      <c r="AG11" s="2"/>
      <c r="AH11" s="2"/>
    </row>
    <row r="12" spans="1:34" ht="15.75">
      <c r="A12" s="31"/>
      <c r="B12" s="426" t="str">
        <f ca="1">OFFSET(L!$C$1,MATCH("Declaration"&amp;ADDRESS(ROW(),COLUMN(),4),L!$A:$A,0)-1,SL,,)</f>
        <v>Select Minerals/Metals in Scope (*):</v>
      </c>
      <c r="C12" s="112"/>
      <c r="D12" s="372" t="s">
        <v>40</v>
      </c>
      <c r="E12" s="428" t="s">
        <v>19147</v>
      </c>
      <c r="F12" s="429"/>
      <c r="G12" s="372" t="s">
        <v>19148</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75">
      <c r="A13" s="31"/>
      <c r="B13" s="427" t="e">
        <f ca="1">OFFSET(L!$C$1,MATCH("Declaration"&amp;ADDRESS(ROW(),COLUMN(),4),L!$A:$A,0)-1,SL,,)</f>
        <v>#N/A</v>
      </c>
      <c r="C13" s="112"/>
      <c r="D13" s="372" t="s">
        <v>19149</v>
      </c>
      <c r="E13" s="428" t="s">
        <v>41</v>
      </c>
      <c r="F13" s="429"/>
      <c r="G13" s="372" t="s">
        <v>19151</v>
      </c>
      <c r="H13" s="298"/>
      <c r="I13" s="298"/>
      <c r="J13" s="298"/>
      <c r="K13" s="29"/>
      <c r="L13" s="104"/>
      <c r="P13" s="295" t="str">
        <f>IF(ISBLANK(E12),"",IF(E12="(Delete Copper)",IF(ISBLANK(E14),"",E14),E12))</f>
        <v/>
      </c>
      <c r="Q13" s="296" t="str">
        <f>IF(P13="",P13,IF(P12="",P12,IF(P12&gt;P13,P12,P13)))</f>
        <v/>
      </c>
      <c r="R13" s="296" t="str">
        <f t="shared" ref="R13:Z13" si="8">IF(Q14="",Q13,IF(Q13="",Q14,IF(Q13&gt;Q14,Q14,Q13)))</f>
        <v/>
      </c>
      <c r="S13" s="296" t="str">
        <f t="shared" ref="S13" si="9">IF(R13="",R13,IF(R12="",R12,IF(R12&gt;R13,R12,R13)))</f>
        <v/>
      </c>
      <c r="T13" s="296" t="str">
        <f t="shared" si="8"/>
        <v/>
      </c>
      <c r="U13" s="296" t="str">
        <f t="shared" ref="U13" si="10">IF(T13="",T13,IF(T12="",T12,IF(T12&gt;T13,T12,T13)))</f>
        <v/>
      </c>
      <c r="V13" s="296" t="str">
        <f t="shared" si="8"/>
        <v>Mica</v>
      </c>
      <c r="W13" s="296" t="str">
        <f t="shared" ref="W13" si="11">IF(V13="",V13,IF(V12="",V12,IF(V12&gt;V13,V12,V13)))</f>
        <v>Mica</v>
      </c>
      <c r="X13" s="296" t="str">
        <f t="shared" si="8"/>
        <v>Mica</v>
      </c>
      <c r="Y13" s="296" t="str">
        <f t="shared" ref="Y13" si="12">IF(X13="",X13,IF(X12="",X12,IF(X12&gt;X13,X12,X13)))</f>
        <v>Mica</v>
      </c>
      <c r="Z13" s="296" t="str">
        <f t="shared" si="8"/>
        <v>Mica</v>
      </c>
      <c r="AA13" s="296" t="str" cm="1">
        <f t="array" ref="AA13">_xlfn.IFNA(INDEX($Z$12:$Z$21,MATCH(0,COUNTIF($AA$12:$AA12,$Z$12:$Z$21),0)),"")</f>
        <v>Mica</v>
      </c>
      <c r="AB13" s="2"/>
      <c r="AC13" s="2"/>
      <c r="AD13" s="2"/>
      <c r="AE13" s="2"/>
      <c r="AF13" s="2"/>
      <c r="AG13" s="2"/>
    </row>
    <row r="14" spans="1:34" ht="15.75" hidden="1">
      <c r="A14" s="31"/>
      <c r="B14" s="430"/>
      <c r="C14" s="112"/>
      <c r="D14" s="298"/>
      <c r="E14" s="432"/>
      <c r="F14" s="433"/>
      <c r="G14" s="298"/>
      <c r="H14" s="298"/>
      <c r="I14" s="298"/>
      <c r="J14" s="298"/>
      <c r="K14" s="29"/>
      <c r="L14" s="104"/>
      <c r="P14" s="295" t="str">
        <f>IF(ISBLANK(G12),"",IF(G12="(Delete Graphite)",IF(ISBLANK(G14),"",G14),G12))</f>
        <v/>
      </c>
      <c r="Q14" s="296" t="str">
        <f t="shared" ref="Q14:Y14" si="13">IF(P15="",P14,IF(P14="",P15,IF(P14&gt;P15,P15,P14)))</f>
        <v/>
      </c>
      <c r="R14" s="296" t="str">
        <f t="shared" ref="R14:Z14" si="14">IF(Q14="",Q14,IF(Q13="",Q13,IF(Q13&gt;Q14,Q13,Q14)))</f>
        <v/>
      </c>
      <c r="S14" s="296" t="str">
        <f t="shared" si="13"/>
        <v/>
      </c>
      <c r="T14" s="296" t="str">
        <f t="shared" si="14"/>
        <v/>
      </c>
      <c r="U14" s="296" t="str">
        <f t="shared" si="13"/>
        <v>Mica</v>
      </c>
      <c r="V14" s="296" t="str">
        <f t="shared" si="14"/>
        <v/>
      </c>
      <c r="W14" s="296" t="str">
        <f t="shared" si="13"/>
        <v/>
      </c>
      <c r="X14" s="296" t="str">
        <f t="shared" si="14"/>
        <v/>
      </c>
      <c r="Y14" s="296" t="str">
        <f t="shared" si="13"/>
        <v/>
      </c>
      <c r="Z14" s="296" t="str">
        <f t="shared" si="14"/>
        <v/>
      </c>
      <c r="AA14" s="296" t="str" cm="1">
        <f t="array" ref="AA14">_xlfn.IFNA(INDEX($Z$12:$Z$21,MATCH(0,COUNTIF($AA$12:$AA13,$Z$12:$Z$21),0)),"")</f>
        <v/>
      </c>
      <c r="AB14" s="2"/>
      <c r="AC14" s="2"/>
      <c r="AD14" s="2"/>
      <c r="AE14" s="2"/>
      <c r="AF14" s="2"/>
      <c r="AG14" s="2"/>
    </row>
    <row r="15" spans="1:34" ht="15.75" hidden="1">
      <c r="A15" s="31"/>
      <c r="B15" s="431"/>
      <c r="C15" s="112"/>
      <c r="D15" s="298"/>
      <c r="E15" s="432"/>
      <c r="F15" s="433"/>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
      </c>
      <c r="S15" s="296" t="str">
        <f t="shared" si="15"/>
        <v/>
      </c>
      <c r="T15" s="296" t="str">
        <f t="shared" si="16"/>
        <v>Mica</v>
      </c>
      <c r="U15" s="296" t="str">
        <f t="shared" si="15"/>
        <v/>
      </c>
      <c r="V15" s="296" t="str">
        <f t="shared" si="16"/>
        <v/>
      </c>
      <c r="W15" s="296" t="str">
        <f t="shared" si="15"/>
        <v/>
      </c>
      <c r="X15" s="296" t="str">
        <f t="shared" si="16"/>
        <v/>
      </c>
      <c r="Y15" s="296" t="str">
        <f t="shared" si="15"/>
        <v/>
      </c>
      <c r="Z15" s="296" t="str">
        <f t="shared" si="16"/>
        <v/>
      </c>
      <c r="AA15" s="296" t="str" cm="1">
        <f t="array" ref="AA15">_xlfn.IFNA(INDEX($Z$12:$Z$21,MATCH(0,COUNTIF($AA$12:$AA14,$Z$12:$Z$21),0)),"")</f>
        <v/>
      </c>
      <c r="AB15" s="2"/>
      <c r="AC15" s="2"/>
      <c r="AD15" s="2"/>
      <c r="AE15" s="2"/>
      <c r="AF15" s="2"/>
      <c r="AG15" s="2"/>
    </row>
    <row r="16" spans="1:34" ht="15.75">
      <c r="A16" s="31"/>
      <c r="B16" s="33" t="str">
        <f ca="1">OFFSET(L!$C$1,MATCH("Declaration"&amp;ADDRESS(ROW(),COLUMN(),4),L!$A:$A,0)-1,SL,,)</f>
        <v>Company Unique ID:</v>
      </c>
      <c r="C16" s="67"/>
      <c r="D16" s="412"/>
      <c r="E16" s="413"/>
      <c r="F16" s="413"/>
      <c r="G16" s="413"/>
      <c r="H16" s="413"/>
      <c r="I16" s="413"/>
      <c r="J16" s="414"/>
      <c r="K16" s="29"/>
      <c r="L16" s="104"/>
      <c r="P16" s="295" t="str">
        <f>IF(ISBLANK(I12),"",IF(I12="(Delete)",IF(ISBLANK(I14),"",I14),I12))</f>
        <v/>
      </c>
      <c r="Q16" s="296" t="str">
        <f t="shared" ref="Q16:Y16" si="17">IF(P17="",P16,IF(P16="",P17,IF(P16&gt;P17,P17,P16)))</f>
        <v/>
      </c>
      <c r="R16" s="296" t="str">
        <f t="shared" ref="R16:Z16" si="18">IF(Q16="",Q16,IF(Q15="",Q15,IF(Q15&gt;Q16,Q15,Q16)))</f>
        <v/>
      </c>
      <c r="S16" s="296" t="str">
        <f t="shared" si="17"/>
        <v>Mica</v>
      </c>
      <c r="T16" s="296" t="str">
        <f t="shared" si="18"/>
        <v/>
      </c>
      <c r="U16" s="296" t="str">
        <f t="shared" si="17"/>
        <v/>
      </c>
      <c r="V16" s="296" t="str">
        <f t="shared" si="18"/>
        <v/>
      </c>
      <c r="W16" s="296" t="str">
        <f t="shared" si="17"/>
        <v/>
      </c>
      <c r="X16" s="296" t="str">
        <f t="shared" si="18"/>
        <v/>
      </c>
      <c r="Y16" s="296" t="str">
        <f t="shared" si="17"/>
        <v/>
      </c>
      <c r="Z16" s="296" t="str">
        <f t="shared" si="18"/>
        <v/>
      </c>
      <c r="AA16" s="296" t="str" cm="1">
        <f t="array" ref="AA16">_xlfn.IFNA(INDEX($Z$12:$Z$21,MATCH(0,COUNTIF($AA$12:$AA15,$Z$12:$Z$21),0)),"")</f>
        <v/>
      </c>
      <c r="AB16" s="2"/>
      <c r="AC16" s="2"/>
      <c r="AD16" s="2"/>
      <c r="AE16" s="2"/>
      <c r="AF16" s="2"/>
      <c r="AG16" s="2"/>
    </row>
    <row r="17" spans="1:33" ht="15.75">
      <c r="A17" s="31"/>
      <c r="B17" s="33" t="str">
        <f ca="1">OFFSET(L!$C$1,MATCH("Declaration"&amp;ADDRESS(ROW(),COLUMN(),4),L!$A:$A,0)-1,SL,,)</f>
        <v>Company Unique ID Authority:</v>
      </c>
      <c r="C17" s="67"/>
      <c r="D17" s="412"/>
      <c r="E17" s="413"/>
      <c r="F17" s="413"/>
      <c r="G17" s="413"/>
      <c r="H17" s="413"/>
      <c r="I17" s="413"/>
      <c r="J17" s="414"/>
      <c r="K17" s="29"/>
      <c r="L17" s="104"/>
      <c r="P17" s="295" t="str">
        <f>IF(ISBLANK(D13),"",IF(D13="(Delete Lithium)",IF(ISBLANK(D15),"",D15),D13))</f>
        <v/>
      </c>
      <c r="Q17" s="296" t="str">
        <f t="shared" ref="Q17:Y17" si="19">IF(P17="",P17,IF(P16="",P16,IF(P16&gt;P17,P16,P17)))</f>
        <v/>
      </c>
      <c r="R17" s="296" t="str">
        <f t="shared" ref="R17:Z17" si="20">IF(Q18="",Q17,IF(Q17="",Q18,IF(Q17&gt;Q18,Q18,Q17)))</f>
        <v>Mica</v>
      </c>
      <c r="S17" s="296" t="str">
        <f t="shared" si="19"/>
        <v/>
      </c>
      <c r="T17" s="296" t="str">
        <f t="shared" si="20"/>
        <v/>
      </c>
      <c r="U17" s="296" t="str">
        <f t="shared" si="19"/>
        <v/>
      </c>
      <c r="V17" s="296" t="str">
        <f t="shared" si="20"/>
        <v/>
      </c>
      <c r="W17" s="296" t="str">
        <f t="shared" si="19"/>
        <v/>
      </c>
      <c r="X17" s="296" t="str">
        <f t="shared" si="20"/>
        <v/>
      </c>
      <c r="Y17" s="296" t="str">
        <f t="shared" si="19"/>
        <v/>
      </c>
      <c r="Z17" s="296" t="str">
        <f t="shared" si="20"/>
        <v/>
      </c>
      <c r="AA17" s="296" t="str" cm="1">
        <f t="array" ref="AA17">_xlfn.IFNA(INDEX($Z$12:$Z$21,MATCH(0,COUNTIF($AA$12:$AA16,$Z$12:$Z$21),0)),"")</f>
        <v/>
      </c>
      <c r="AB17" s="2"/>
      <c r="AC17" s="2"/>
      <c r="AD17" s="2"/>
      <c r="AE17" s="2"/>
      <c r="AF17" s="2"/>
      <c r="AG17" s="2"/>
    </row>
    <row r="18" spans="1:33" ht="15.75">
      <c r="A18" s="31"/>
      <c r="B18" s="33" t="str">
        <f ca="1">OFFSET(L!$C$1,MATCH("Declaration"&amp;ADDRESS(ROW(),COLUMN(),4),L!$A:$A,0)-1,SL,,)</f>
        <v>Address:</v>
      </c>
      <c r="C18" s="67"/>
      <c r="D18" s="412"/>
      <c r="E18" s="413"/>
      <c r="F18" s="413"/>
      <c r="G18" s="413"/>
      <c r="H18" s="413"/>
      <c r="I18" s="413"/>
      <c r="J18" s="414"/>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65" customHeight="1">
      <c r="A19" s="31"/>
      <c r="B19" s="33" t="str">
        <f ca="1">OFFSET(L!$C$1,MATCH("Declaration"&amp;ADDRESS(ROW(),COLUMN(),4),L!$A:$A,0)-1,SL,,)</f>
        <v>Contact Name (*):</v>
      </c>
      <c r="C19" s="67"/>
      <c r="D19" s="412" t="s">
        <v>20052</v>
      </c>
      <c r="E19" s="413"/>
      <c r="F19" s="413"/>
      <c r="G19" s="413"/>
      <c r="H19" s="413"/>
      <c r="I19" s="413"/>
      <c r="J19" s="414"/>
      <c r="K19" s="29"/>
      <c r="L19" s="104"/>
      <c r="P19" s="295" t="str">
        <f>IF(ISBLANK(G13),"",IF(G13="(Delete Nickel)",IF(ISBLANK(G15),"",G15),G13))</f>
        <v/>
      </c>
      <c r="Q19" s="296" t="str">
        <f t="shared" ref="Q19:Y19" si="23">IF(P19="",P19,IF(P18="",P18,IF(P18&gt;P19,P18,P19)))</f>
        <v/>
      </c>
      <c r="R19" s="296" t="str">
        <f t="shared" ref="R19:Z19" si="24">IF(Q20="",Q19,IF(Q19="",Q20,IF(Q19&gt;Q20,Q20,Q19)))</f>
        <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7"/>
      <c r="D20" s="434" t="s">
        <v>20053</v>
      </c>
      <c r="E20" s="435"/>
      <c r="F20" s="435"/>
      <c r="G20" s="435"/>
      <c r="H20" s="435"/>
      <c r="I20" s="435"/>
      <c r="J20" s="436"/>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7"/>
      <c r="D21" s="412" t="s">
        <v>20054</v>
      </c>
      <c r="E21" s="413"/>
      <c r="F21" s="413"/>
      <c r="G21" s="413"/>
      <c r="H21" s="413"/>
      <c r="I21" s="413"/>
      <c r="J21" s="414"/>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12" t="s">
        <v>20052</v>
      </c>
      <c r="E22" s="413"/>
      <c r="F22" s="413"/>
      <c r="G22" s="413"/>
      <c r="H22" s="413"/>
      <c r="I22" s="413"/>
      <c r="J22" s="414"/>
      <c r="K22" s="29"/>
      <c r="L22" s="98"/>
      <c r="Q22" s="2"/>
      <c r="R22" s="2"/>
      <c r="S22" s="2"/>
      <c r="T22" s="2"/>
      <c r="U22" s="2"/>
      <c r="V22" s="2"/>
      <c r="W22" s="2"/>
      <c r="X22" s="2"/>
      <c r="Y22" s="2"/>
      <c r="Z22" s="2"/>
      <c r="AA22" s="2">
        <f>10-COUNTIF(AA12:AA21,"")</f>
        <v>2</v>
      </c>
      <c r="AB22" s="2"/>
      <c r="AC22" s="2"/>
      <c r="AD22" s="2"/>
      <c r="AE22" s="2"/>
      <c r="AF22" s="2"/>
      <c r="AG22" s="2"/>
    </row>
    <row r="23" spans="1:33" ht="22.5">
      <c r="A23" s="31"/>
      <c r="B23" s="33" t="str">
        <f ca="1">OFFSET(L!$C$1,MATCH("Declaration"&amp;ADDRESS(ROW(),COLUMN(),4),L!$A:$A,0)-1,SL,,)</f>
        <v>Title - Authorizer:</v>
      </c>
      <c r="C23" s="67"/>
      <c r="D23" s="412" t="s">
        <v>20055</v>
      </c>
      <c r="E23" s="413"/>
      <c r="F23" s="413"/>
      <c r="G23" s="413"/>
      <c r="H23" s="413"/>
      <c r="I23" s="413"/>
      <c r="J23" s="414"/>
      <c r="K23" s="29"/>
      <c r="L23" s="98"/>
      <c r="P23" s="2"/>
      <c r="Q23" s="2"/>
      <c r="R23" s="2"/>
      <c r="S23" s="2"/>
      <c r="T23" s="2"/>
      <c r="U23" s="2"/>
      <c r="V23" s="2"/>
      <c r="W23" s="2"/>
      <c r="X23" s="2"/>
      <c r="Y23" s="2"/>
      <c r="Z23" s="2"/>
      <c r="AA23" s="2">
        <f>IF(AA22=0,0.1,AA22)</f>
        <v>2</v>
      </c>
      <c r="AB23" s="2"/>
      <c r="AC23" s="2"/>
      <c r="AD23" s="2"/>
      <c r="AE23" s="2"/>
      <c r="AF23" s="2"/>
      <c r="AG23" s="2"/>
    </row>
    <row r="24" spans="1:33" ht="22.5">
      <c r="A24" s="31"/>
      <c r="B24" s="33" t="str">
        <f ca="1">OFFSET(L!$C$1,MATCH("Declaration"&amp;ADDRESS(ROW(),COLUMN(),4),L!$A:$A,0)-1,SL,,)</f>
        <v>Email - Authorizer (*):</v>
      </c>
      <c r="C24" s="67"/>
      <c r="D24" s="434" t="s">
        <v>20053</v>
      </c>
      <c r="E24" s="435"/>
      <c r="F24" s="435"/>
      <c r="G24" s="435"/>
      <c r="H24" s="435"/>
      <c r="I24" s="435"/>
      <c r="J24" s="436"/>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4"/>
      <c r="D25" s="412"/>
      <c r="E25" s="413"/>
      <c r="F25" s="413"/>
      <c r="G25" s="413"/>
      <c r="H25" s="413"/>
      <c r="I25" s="413"/>
      <c r="J25" s="414"/>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40">
        <v>45838</v>
      </c>
      <c r="E26" s="441"/>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49"/>
      <c r="E27" s="449"/>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50" t="str">
        <f ca="1">OFFSET(L!$C$1,MATCH("Declaration"&amp;ADDRESS(ROW(),COLUMN(),4),L!$A:$A,0)-1,SL,,)</f>
        <v>Answer the following questions 1 - 7 based on the declaration scope indicated above</v>
      </c>
      <c r="C28" s="450"/>
      <c r="D28" s="450"/>
      <c r="E28" s="450"/>
      <c r="F28" s="450"/>
      <c r="G28" s="450"/>
      <c r="H28" s="450"/>
      <c r="I28" s="450"/>
      <c r="J28" s="450"/>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48" t="str">
        <f ca="1">OFFSET(L!$C$1,MATCH("Declaration"&amp;ADDRESS(ROW(),COLUMN(),4),L!$A:$A,0)-1,SL,,)</f>
        <v>Answer</v>
      </c>
      <c r="E29" s="448"/>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Cobalt(*)</v>
      </c>
      <c r="C30" s="28"/>
      <c r="D30" s="437" t="s">
        <v>25</v>
      </c>
      <c r="E30" s="438"/>
      <c r="F30" s="8"/>
      <c r="G30" s="400"/>
      <c r="H30" s="401"/>
      <c r="I30" s="401"/>
      <c r="J30" s="402"/>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9" t="str">
        <f t="shared" si="32"/>
        <v>Mica(*)</v>
      </c>
      <c r="C31" s="28"/>
      <c r="D31" s="437" t="s">
        <v>25</v>
      </c>
      <c r="E31" s="438"/>
      <c r="F31" s="8"/>
      <c r="G31" s="400"/>
      <c r="H31" s="401"/>
      <c r="I31" s="401"/>
      <c r="J31" s="402"/>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5">
      <c r="A32" s="34"/>
      <c r="B32" s="299" t="str">
        <f t="shared" si="32"/>
        <v/>
      </c>
      <c r="C32" s="28"/>
      <c r="D32" s="437"/>
      <c r="E32" s="438"/>
      <c r="F32" s="8"/>
      <c r="G32" s="400"/>
      <c r="H32" s="401"/>
      <c r="I32" s="401"/>
      <c r="J32" s="402"/>
      <c r="K32" s="29"/>
      <c r="L32" s="105"/>
      <c r="O32" s="38" t="str">
        <f t="shared" si="33"/>
        <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9" t="str">
        <f t="shared" si="32"/>
        <v/>
      </c>
      <c r="C33" s="28"/>
      <c r="D33" s="437"/>
      <c r="E33" s="438"/>
      <c r="F33" s="8"/>
      <c r="G33" s="400"/>
      <c r="H33" s="401"/>
      <c r="I33" s="401"/>
      <c r="J33" s="402"/>
      <c r="K33" s="29"/>
      <c r="L33" s="105"/>
      <c r="O33" s="38" t="str">
        <f t="shared" si="33"/>
        <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9" t="str">
        <f t="shared" si="32"/>
        <v/>
      </c>
      <c r="C34" s="28"/>
      <c r="D34" s="437"/>
      <c r="E34" s="438"/>
      <c r="F34" s="8"/>
      <c r="G34" s="400"/>
      <c r="H34" s="401"/>
      <c r="I34" s="401"/>
      <c r="J34" s="402"/>
      <c r="K34" s="29"/>
      <c r="L34" s="105"/>
      <c r="O34" s="38" t="str">
        <f t="shared" si="33"/>
        <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9" t="str">
        <f t="shared" si="32"/>
        <v/>
      </c>
      <c r="C35" s="28"/>
      <c r="D35" s="437"/>
      <c r="E35" s="438"/>
      <c r="F35" s="8"/>
      <c r="G35" s="400"/>
      <c r="H35" s="401"/>
      <c r="I35" s="401"/>
      <c r="J35" s="402"/>
      <c r="K35" s="29"/>
      <c r="L35" s="105"/>
      <c r="O35" s="38" t="str">
        <f t="shared" si="33"/>
        <v/>
      </c>
      <c r="P35" s="38" t="str">
        <f t="shared" si="34"/>
        <v/>
      </c>
      <c r="Q35" s="38" t="str">
        <f t="shared" si="35"/>
        <v/>
      </c>
      <c r="R35" s="2"/>
      <c r="S35" s="2"/>
      <c r="T35" s="2"/>
      <c r="U35" s="2"/>
      <c r="V35" s="2"/>
      <c r="W35" s="2"/>
      <c r="X35" s="2"/>
      <c r="Y35" s="2"/>
      <c r="Z35" s="2"/>
      <c r="AA35" s="2"/>
      <c r="AB35" s="2"/>
      <c r="AC35" s="2"/>
      <c r="AD35" s="2"/>
      <c r="AE35" s="2"/>
      <c r="AF35" s="2"/>
      <c r="AG35" s="2"/>
    </row>
    <row r="36" spans="1:33" ht="22.5" hidden="1">
      <c r="A36" s="34"/>
      <c r="B36" s="299" t="str">
        <f t="shared" si="32"/>
        <v/>
      </c>
      <c r="C36" s="28"/>
      <c r="D36" s="437"/>
      <c r="E36" s="438"/>
      <c r="F36" s="8"/>
      <c r="G36" s="400"/>
      <c r="H36" s="401"/>
      <c r="I36" s="401"/>
      <c r="J36" s="402"/>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37"/>
      <c r="E37" s="438"/>
      <c r="F37" s="8"/>
      <c r="G37" s="400"/>
      <c r="H37" s="401"/>
      <c r="I37" s="401"/>
      <c r="J37" s="402"/>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37"/>
      <c r="E38" s="438"/>
      <c r="F38" s="8"/>
      <c r="G38" s="400"/>
      <c r="H38" s="401"/>
      <c r="I38" s="401"/>
      <c r="J38" s="402"/>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37"/>
      <c r="E39" s="438"/>
      <c r="F39" s="8"/>
      <c r="G39" s="400"/>
      <c r="H39" s="401"/>
      <c r="I39" s="401"/>
      <c r="J39" s="402"/>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9.149999999999999" customHeight="1">
      <c r="A41" s="34"/>
      <c r="B41" s="37" t="str">
        <f ca="1">OFFSET(L!$C$1,MATCH("Declaration"&amp;ADDRESS(ROW(),COLUMN(),4),L!$A:$A,0)-1,SL,,)&amp;Q41</f>
        <v>2) Does any of the specified mineral/metal remain in the product(s)? (*)</v>
      </c>
      <c r="C41" s="13"/>
      <c r="D41" s="439" t="str">
        <f ca="1">D29</f>
        <v>Answer</v>
      </c>
      <c r="E41" s="439"/>
      <c r="F41" s="14"/>
      <c r="G41" s="37" t="str">
        <f ca="1">G29</f>
        <v>Comments</v>
      </c>
      <c r="H41" s="37"/>
      <c r="I41" s="37"/>
      <c r="J41" s="73"/>
      <c r="K41" s="29"/>
      <c r="L41" s="99" t="s">
        <v>15</v>
      </c>
      <c r="P41" s="301">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Cobalt(*)</v>
      </c>
      <c r="C42" s="28"/>
      <c r="D42" s="437" t="s">
        <v>25</v>
      </c>
      <c r="E42" s="438"/>
      <c r="F42" s="8"/>
      <c r="G42" s="400"/>
      <c r="H42" s="401"/>
      <c r="I42" s="401"/>
      <c r="J42" s="402"/>
      <c r="K42" s="29"/>
      <c r="L42" s="105"/>
      <c r="P42" s="301" t="str">
        <f>IF(OR(D30="No",D30="Unknown",D30="Not declaring"),"",O30)</f>
        <v>(*)</v>
      </c>
      <c r="R42" s="2"/>
      <c r="S42" s="302" t="str">
        <f>IF(COUNTIF(D42,"Yes"),AA12,"")</f>
        <v>Cobalt</v>
      </c>
      <c r="T42" s="303" t="str">
        <f>IF(S43="",S42,IF(S42="",S43,IF(S42&gt;S43,S43,S42)))</f>
        <v>Cobalt</v>
      </c>
      <c r="U42" s="303" t="str">
        <f>T42</f>
        <v>Cobalt</v>
      </c>
      <c r="V42" s="303" t="str">
        <f t="shared" ref="V42" si="37">IF(U43="",U42,IF(U42="",U43,IF(U42&gt;U43,U43,U42)))</f>
        <v>Cobalt</v>
      </c>
      <c r="W42" s="303" t="str">
        <f t="shared" ref="W42" si="38">V42</f>
        <v>Cobalt</v>
      </c>
      <c r="X42" s="303" t="str">
        <f t="shared" ref="X42" si="39">IF(W43="",W42,IF(W42="",W43,IF(W42&gt;W43,W43,W42)))</f>
        <v>Cobalt</v>
      </c>
      <c r="Y42" s="303" t="str">
        <f t="shared" ref="Y42" si="40">X42</f>
        <v>Cobalt</v>
      </c>
      <c r="Z42" s="303" t="str">
        <f t="shared" ref="Z42" si="41">IF(Y43="",Y42,IF(Y42="",Y43,IF(Y42&gt;Y43,Y43,Y42)))</f>
        <v>Cobalt</v>
      </c>
      <c r="AA42" s="303" t="str">
        <f t="shared" ref="AA42" si="42">Z42</f>
        <v>Cobalt</v>
      </c>
      <c r="AB42" s="303" t="str">
        <f t="shared" ref="AB42" si="43">IF(AA43="",AA42,IF(AA42="",AA43,IF(AA42&gt;AA43,AA43,AA42)))</f>
        <v>Cobalt</v>
      </c>
      <c r="AC42" s="303" t="str">
        <f t="shared" ref="AC42" si="44">AB42</f>
        <v>Cobalt</v>
      </c>
      <c r="AD42" s="2"/>
      <c r="AE42" s="2"/>
      <c r="AF42" s="2"/>
      <c r="AG42" s="2"/>
    </row>
    <row r="43" spans="1:33" ht="22.5">
      <c r="A43" s="34"/>
      <c r="B43" s="300" t="str">
        <f t="shared" si="36"/>
        <v>Mica(*)</v>
      </c>
      <c r="C43" s="28"/>
      <c r="D43" s="437" t="s">
        <v>25</v>
      </c>
      <c r="E43" s="438"/>
      <c r="F43" s="8"/>
      <c r="G43" s="400"/>
      <c r="H43" s="401"/>
      <c r="I43" s="401"/>
      <c r="J43" s="402"/>
      <c r="K43" s="29"/>
      <c r="L43" s="105"/>
      <c r="P43" s="301" t="str">
        <f t="shared" ref="P43:P51" si="45">IF(OR(D31="No",D31="Unknown",D31="Not declaring"),"",O31)</f>
        <v>(*)</v>
      </c>
      <c r="R43" s="2"/>
      <c r="S43" s="302" t="str">
        <f t="shared" ref="S43:S51" si="46">IF(COUNTIF(D43,"Yes"),AA13,"")</f>
        <v>Mica</v>
      </c>
      <c r="T43" s="303" t="str">
        <f>IF(S43="",S43,IF(S42="",S42,IF(S42&gt;S43,S42,S43)))</f>
        <v>Mica</v>
      </c>
      <c r="U43" s="303" t="str">
        <f t="shared" ref="U43" si="47">IF(T44="",T43,IF(T43="",T44,IF(T43&gt;T44,T44,T43)))</f>
        <v>Mica</v>
      </c>
      <c r="V43" s="303" t="str">
        <f t="shared" ref="V43" si="48">IF(U43="",U43,IF(U42="",U42,IF(U42&gt;U43,U42,U43)))</f>
        <v>Mica</v>
      </c>
      <c r="W43" s="303" t="str">
        <f t="shared" ref="W43" si="49">IF(V44="",V43,IF(V43="",V44,IF(V43&gt;V44,V44,V43)))</f>
        <v>Mica</v>
      </c>
      <c r="X43" s="303" t="str">
        <f t="shared" ref="X43" si="50">IF(W43="",W43,IF(W42="",W42,IF(W42&gt;W43,W42,W43)))</f>
        <v>Mica</v>
      </c>
      <c r="Y43" s="303" t="str">
        <f t="shared" ref="Y43" si="51">IF(X44="",X43,IF(X43="",X44,IF(X43&gt;X44,X44,X43)))</f>
        <v>Mica</v>
      </c>
      <c r="Z43" s="303" t="str">
        <f t="shared" ref="Z43" si="52">IF(Y43="",Y43,IF(Y42="",Y42,IF(Y42&gt;Y43,Y42,Y43)))</f>
        <v>Mica</v>
      </c>
      <c r="AA43" s="303" t="str">
        <f t="shared" ref="AA43" si="53">IF(Z44="",Z43,IF(Z43="",Z44,IF(Z43&gt;Z44,Z44,Z43)))</f>
        <v>Mica</v>
      </c>
      <c r="AB43" s="303" t="str">
        <f t="shared" ref="AB43" si="54">IF(AA43="",AA43,IF(AA42="",AA42,IF(AA42&gt;AA43,AA42,AA43)))</f>
        <v>Mica</v>
      </c>
      <c r="AC43" s="303" t="str">
        <f t="shared" ref="AC43" si="55">IF(AB44="",AB43,IF(AB43="",AB44,IF(AB43&gt;AB44,AB44,AB43)))</f>
        <v>Mica</v>
      </c>
      <c r="AD43" s="2"/>
      <c r="AE43" s="2"/>
      <c r="AF43" s="2"/>
      <c r="AG43" s="2"/>
    </row>
    <row r="44" spans="1:33" ht="22.5">
      <c r="A44" s="34"/>
      <c r="B44" s="300" t="str">
        <f t="shared" si="36"/>
        <v/>
      </c>
      <c r="C44" s="28"/>
      <c r="D44" s="437"/>
      <c r="E44" s="438"/>
      <c r="F44" s="8"/>
      <c r="G44" s="400"/>
      <c r="H44" s="401"/>
      <c r="I44" s="401"/>
      <c r="J44" s="402"/>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2.5">
      <c r="A45" s="34"/>
      <c r="B45" s="300" t="str">
        <f t="shared" si="36"/>
        <v/>
      </c>
      <c r="C45" s="28"/>
      <c r="D45" s="437"/>
      <c r="E45" s="438"/>
      <c r="F45" s="8"/>
      <c r="G45" s="400"/>
      <c r="H45" s="401"/>
      <c r="I45" s="401"/>
      <c r="J45" s="402"/>
      <c r="K45" s="29"/>
      <c r="L45" s="105"/>
      <c r="P45" s="301" t="str">
        <f t="shared" si="45"/>
        <v/>
      </c>
      <c r="R45" s="2"/>
      <c r="S45" s="302" t="str">
        <f t="shared" si="46"/>
        <v/>
      </c>
      <c r="T45" s="303" t="str">
        <f t="shared" ref="T45" si="66">IF(S45="",S45,IF(S44="",S44,IF(S44&gt;S45,S44,S45)))</f>
        <v/>
      </c>
      <c r="U45" s="303" t="str">
        <f t="shared" ref="U45" si="67">IF(T46="",T45,IF(T45="",T46,IF(T45&gt;T46,T46,T45)))</f>
        <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5">
      <c r="A46" s="34"/>
      <c r="B46" s="300" t="str">
        <f t="shared" si="36"/>
        <v/>
      </c>
      <c r="C46" s="28"/>
      <c r="D46" s="437"/>
      <c r="E46" s="438"/>
      <c r="F46" s="8"/>
      <c r="G46" s="400"/>
      <c r="H46" s="401"/>
      <c r="I46" s="401"/>
      <c r="J46" s="402"/>
      <c r="K46" s="29"/>
      <c r="L46" s="105"/>
      <c r="P46" s="301" t="str">
        <f t="shared" si="45"/>
        <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
      </c>
      <c r="C47" s="28"/>
      <c r="D47" s="437"/>
      <c r="E47" s="438"/>
      <c r="F47" s="8"/>
      <c r="G47" s="400"/>
      <c r="H47" s="401"/>
      <c r="I47" s="401"/>
      <c r="J47" s="402"/>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37"/>
      <c r="E48" s="438"/>
      <c r="F48" s="8"/>
      <c r="G48" s="400"/>
      <c r="H48" s="401"/>
      <c r="I48" s="401"/>
      <c r="J48" s="402"/>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37"/>
      <c r="E49" s="438"/>
      <c r="F49" s="8"/>
      <c r="G49" s="400"/>
      <c r="H49" s="401"/>
      <c r="I49" s="401"/>
      <c r="J49" s="402"/>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37"/>
      <c r="E50" s="438"/>
      <c r="F50" s="8"/>
      <c r="G50" s="400"/>
      <c r="H50" s="401"/>
      <c r="I50" s="401"/>
      <c r="J50" s="402"/>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37"/>
      <c r="E51" s="438"/>
      <c r="F51" s="8"/>
      <c r="G51" s="400"/>
      <c r="H51" s="401"/>
      <c r="I51" s="401"/>
      <c r="J51" s="402"/>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4"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9" t="str">
        <f ca="1">D29</f>
        <v>Answer</v>
      </c>
      <c r="E53" s="439"/>
      <c r="F53" s="14"/>
      <c r="G53" s="37" t="str">
        <f ca="1">G29</f>
        <v>Comments</v>
      </c>
      <c r="H53" s="444"/>
      <c r="I53" s="444"/>
      <c r="J53" s="444"/>
      <c r="K53" s="29"/>
      <c r="L53" s="99"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5">
      <c r="A54" s="34"/>
      <c r="B54" s="300" t="str">
        <f>IF(ISERROR(AA$12),"",AA$12&amp;"")&amp;P$54</f>
        <v>Cobalt(*)</v>
      </c>
      <c r="C54" s="6"/>
      <c r="D54" s="437" t="s">
        <v>25</v>
      </c>
      <c r="E54" s="438"/>
      <c r="F54" s="40"/>
      <c r="G54" s="400"/>
      <c r="H54" s="401"/>
      <c r="I54" s="401"/>
      <c r="J54" s="402"/>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300" t="str">
        <f>IF(ISERROR(AA$13),"",AA$13&amp;"")&amp;P$55</f>
        <v>Mica(*)</v>
      </c>
      <c r="C55" s="6"/>
      <c r="D55" s="437" t="s">
        <v>22</v>
      </c>
      <c r="E55" s="438"/>
      <c r="F55" s="40"/>
      <c r="G55" s="400"/>
      <c r="H55" s="401"/>
      <c r="I55" s="401"/>
      <c r="J55" s="402"/>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2.15" customHeight="1">
      <c r="A56" s="34"/>
      <c r="B56" s="300" t="str">
        <f>IF(ISERROR(AA$14),"",AA$14&amp;"")&amp;P$56</f>
        <v/>
      </c>
      <c r="C56" s="6"/>
      <c r="D56" s="437"/>
      <c r="E56" s="438"/>
      <c r="F56" s="40"/>
      <c r="G56" s="400"/>
      <c r="H56" s="401"/>
      <c r="I56" s="401"/>
      <c r="J56" s="402"/>
      <c r="K56" s="29"/>
      <c r="L56" s="105"/>
      <c r="P56" s="301" t="str">
        <f t="shared" si="135"/>
        <v/>
      </c>
      <c r="Q56" s="2"/>
      <c r="R56" s="2"/>
      <c r="S56" s="2"/>
      <c r="T56" s="2"/>
      <c r="U56" s="2"/>
      <c r="V56" s="2"/>
      <c r="W56" s="2"/>
      <c r="X56" s="2"/>
      <c r="Y56" s="2">
        <v>40</v>
      </c>
      <c r="Z56" s="2"/>
      <c r="AA56" s="2"/>
      <c r="AB56" s="2"/>
      <c r="AC56" s="2"/>
      <c r="AD56" s="2"/>
      <c r="AE56" s="2"/>
      <c r="AF56" s="2"/>
    </row>
    <row r="57" spans="1:33" ht="22.15" customHeight="1">
      <c r="A57" s="34"/>
      <c r="B57" s="300" t="str">
        <f>IF(ISERROR(AA$15),"",AA$15&amp;"")&amp;P$57</f>
        <v/>
      </c>
      <c r="C57" s="6"/>
      <c r="D57" s="437"/>
      <c r="E57" s="438"/>
      <c r="F57" s="40"/>
      <c r="G57" s="400"/>
      <c r="H57" s="401"/>
      <c r="I57" s="401"/>
      <c r="J57" s="402"/>
      <c r="K57" s="29"/>
      <c r="L57" s="105"/>
      <c r="P57" s="301" t="str">
        <f t="shared" si="135"/>
        <v/>
      </c>
      <c r="Q57" s="2"/>
      <c r="R57" s="2"/>
      <c r="S57" s="2"/>
      <c r="T57" s="2"/>
      <c r="U57" s="2"/>
      <c r="V57" s="2"/>
      <c r="W57" s="2"/>
      <c r="X57" s="2"/>
      <c r="Y57" s="2">
        <v>41</v>
      </c>
      <c r="Z57" s="2"/>
      <c r="AA57" s="2"/>
      <c r="AB57" s="2"/>
      <c r="AC57" s="2"/>
      <c r="AD57" s="2"/>
      <c r="AE57" s="2"/>
      <c r="AF57" s="2"/>
    </row>
    <row r="58" spans="1:33" ht="22.5">
      <c r="A58" s="34"/>
      <c r="B58" s="300" t="str">
        <f>IF(ISERROR(AA$16),"",AA$16&amp;"")&amp;P$58</f>
        <v/>
      </c>
      <c r="C58" s="6"/>
      <c r="D58" s="437"/>
      <c r="E58" s="438"/>
      <c r="F58" s="40"/>
      <c r="G58" s="400"/>
      <c r="H58" s="401"/>
      <c r="I58" s="401"/>
      <c r="J58" s="402"/>
      <c r="K58" s="29"/>
      <c r="L58" s="105"/>
      <c r="P58" s="301" t="str">
        <f t="shared" si="135"/>
        <v/>
      </c>
      <c r="Q58" s="2"/>
      <c r="R58" s="2"/>
      <c r="S58" s="2"/>
      <c r="T58" s="2"/>
      <c r="U58" s="2"/>
      <c r="V58" s="2"/>
      <c r="W58" s="2"/>
      <c r="X58" s="2"/>
      <c r="Y58" s="2">
        <v>39</v>
      </c>
      <c r="Z58" s="2"/>
      <c r="AA58" s="2"/>
      <c r="AB58" s="2"/>
      <c r="AC58" s="2"/>
      <c r="AD58" s="2"/>
      <c r="AE58" s="2"/>
      <c r="AF58" s="2"/>
    </row>
    <row r="59" spans="1:33" ht="22.5">
      <c r="A59" s="34"/>
      <c r="B59" s="300" t="str">
        <f>IF(ISERROR(AA$17),"",AA$17&amp;"")&amp;P$59</f>
        <v/>
      </c>
      <c r="C59" s="6"/>
      <c r="D59" s="437"/>
      <c r="E59" s="438"/>
      <c r="F59" s="40"/>
      <c r="G59" s="400"/>
      <c r="H59" s="401"/>
      <c r="I59" s="401"/>
      <c r="J59" s="402"/>
      <c r="K59" s="29"/>
      <c r="L59" s="105"/>
      <c r="P59" s="301" t="str">
        <f t="shared" si="135"/>
        <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37"/>
      <c r="E60" s="438"/>
      <c r="F60" s="40"/>
      <c r="G60" s="400"/>
      <c r="H60" s="401"/>
      <c r="I60" s="401"/>
      <c r="J60" s="402"/>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37"/>
      <c r="E61" s="438"/>
      <c r="F61" s="40"/>
      <c r="G61" s="400"/>
      <c r="H61" s="401"/>
      <c r="I61" s="401"/>
      <c r="J61" s="402"/>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37"/>
      <c r="E62" s="438"/>
      <c r="F62" s="40"/>
      <c r="G62" s="400"/>
      <c r="H62" s="401"/>
      <c r="I62" s="401"/>
      <c r="J62" s="402"/>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37"/>
      <c r="E63" s="438"/>
      <c r="F63" s="40"/>
      <c r="G63" s="400"/>
      <c r="H63" s="401"/>
      <c r="I63" s="401"/>
      <c r="J63" s="402"/>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65" customHeight="1">
      <c r="A65" s="34"/>
      <c r="B65" s="37" t="str">
        <f ca="1">OFFSET(L!$C$1,MATCH("Declaration"&amp;ADDRESS(ROW(),COLUMN(),4),L!$A:$A,0)-1,SL,,)&amp;Q53</f>
        <v>4) Does 100 percent of the specified minaral/metal originate from recycled or scrap sources?(*)</v>
      </c>
      <c r="C65" s="6"/>
      <c r="D65" s="439" t="str">
        <f ca="1">D29</f>
        <v>Answer</v>
      </c>
      <c r="E65" s="43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Cobalt(*)</v>
      </c>
      <c r="C66" s="6"/>
      <c r="D66" s="437" t="s">
        <v>22</v>
      </c>
      <c r="E66" s="438"/>
      <c r="F66" s="40"/>
      <c r="G66" s="400"/>
      <c r="H66" s="401"/>
      <c r="I66" s="401"/>
      <c r="J66" s="402"/>
      <c r="K66" s="29"/>
      <c r="L66" s="105"/>
      <c r="P66" s="2"/>
      <c r="Q66" s="2"/>
      <c r="R66" s="2"/>
      <c r="S66" s="2"/>
      <c r="T66" s="2"/>
      <c r="U66" s="2"/>
      <c r="V66" s="2"/>
      <c r="W66" s="2"/>
      <c r="X66" s="2"/>
      <c r="Y66" s="2">
        <v>44</v>
      </c>
      <c r="Z66" s="2"/>
      <c r="AA66" s="2"/>
      <c r="AB66" s="2"/>
      <c r="AC66" s="2"/>
      <c r="AD66" s="2"/>
      <c r="AE66" s="2"/>
      <c r="AF66" s="2"/>
      <c r="AG66" s="2"/>
    </row>
    <row r="67" spans="1:33" ht="19.899999999999999" customHeight="1">
      <c r="A67" s="34"/>
      <c r="B67" s="300" t="str">
        <f>IF(ISERROR(AA$13),"",AA$13&amp;"")&amp;P$55</f>
        <v>Mica(*)</v>
      </c>
      <c r="C67" s="6"/>
      <c r="D67" s="437" t="s">
        <v>22</v>
      </c>
      <c r="E67" s="438"/>
      <c r="F67" s="40"/>
      <c r="G67" s="400"/>
      <c r="H67" s="401"/>
      <c r="I67" s="401"/>
      <c r="J67" s="402"/>
      <c r="K67" s="29"/>
      <c r="L67" s="105"/>
      <c r="P67" s="2"/>
      <c r="Q67" s="2"/>
      <c r="R67" s="2"/>
      <c r="S67" s="2"/>
      <c r="T67" s="2"/>
      <c r="U67" s="2"/>
      <c r="V67" s="2"/>
      <c r="W67" s="2"/>
      <c r="X67" s="2"/>
      <c r="Y67" s="2">
        <v>45</v>
      </c>
      <c r="Z67" s="2"/>
      <c r="AA67" s="2"/>
      <c r="AB67" s="2"/>
      <c r="AC67" s="2"/>
      <c r="AD67" s="2"/>
      <c r="AE67" s="2"/>
      <c r="AF67" s="2"/>
      <c r="AG67" s="2"/>
    </row>
    <row r="68" spans="1:33" ht="19.899999999999999" customHeight="1">
      <c r="A68" s="34"/>
      <c r="B68" s="300" t="str">
        <f>IF(ISERROR(AA$14),"",AA$14&amp;"")&amp;P$56</f>
        <v/>
      </c>
      <c r="C68" s="6"/>
      <c r="D68" s="437"/>
      <c r="E68" s="438"/>
      <c r="F68" s="40"/>
      <c r="G68" s="400"/>
      <c r="H68" s="401"/>
      <c r="I68" s="401"/>
      <c r="J68" s="402"/>
      <c r="K68" s="29"/>
      <c r="L68" s="105"/>
      <c r="P68" s="2"/>
      <c r="Q68" s="2"/>
      <c r="R68" s="2"/>
      <c r="S68" s="2"/>
      <c r="T68" s="2"/>
      <c r="U68" s="2"/>
      <c r="V68" s="2"/>
      <c r="W68" s="2"/>
      <c r="X68" s="2"/>
      <c r="Y68" s="2">
        <v>45</v>
      </c>
      <c r="Z68" s="2"/>
      <c r="AA68" s="2"/>
      <c r="AB68" s="2"/>
      <c r="AC68" s="2"/>
      <c r="AD68" s="2"/>
      <c r="AE68" s="2"/>
      <c r="AF68" s="2"/>
      <c r="AG68" s="2"/>
    </row>
    <row r="69" spans="1:33" ht="19.899999999999999" customHeight="1">
      <c r="A69" s="34"/>
      <c r="B69" s="300" t="str">
        <f>IF(ISERROR(AA$15),"",AA$15&amp;"")&amp;P$57</f>
        <v/>
      </c>
      <c r="C69" s="6"/>
      <c r="D69" s="437"/>
      <c r="E69" s="438"/>
      <c r="F69" s="40"/>
      <c r="G69" s="400"/>
      <c r="H69" s="401"/>
      <c r="I69" s="401"/>
      <c r="J69" s="402"/>
      <c r="K69" s="29"/>
      <c r="L69" s="105"/>
      <c r="P69" s="2"/>
      <c r="Q69" s="2"/>
      <c r="R69" s="2"/>
      <c r="S69" s="2"/>
      <c r="T69" s="2"/>
      <c r="U69" s="2"/>
      <c r="V69" s="2"/>
      <c r="W69" s="2"/>
      <c r="X69" s="2"/>
      <c r="Y69" s="2">
        <v>45</v>
      </c>
      <c r="Z69" s="2"/>
      <c r="AA69" s="2"/>
      <c r="AB69" s="2"/>
      <c r="AC69" s="2"/>
      <c r="AD69" s="2"/>
      <c r="AE69" s="2"/>
      <c r="AF69" s="2"/>
      <c r="AG69" s="2"/>
    </row>
    <row r="70" spans="1:33" ht="19.899999999999999" customHeight="1">
      <c r="A70" s="34"/>
      <c r="B70" s="300" t="str">
        <f>IF(ISERROR(AA$16),"",AA$16&amp;"")&amp;P$58</f>
        <v/>
      </c>
      <c r="C70" s="6"/>
      <c r="D70" s="437"/>
      <c r="E70" s="438"/>
      <c r="F70" s="40"/>
      <c r="G70" s="400"/>
      <c r="H70" s="401"/>
      <c r="I70" s="401"/>
      <c r="J70" s="402"/>
      <c r="K70" s="29"/>
      <c r="L70" s="105"/>
      <c r="P70" s="2"/>
      <c r="Q70" s="2"/>
      <c r="R70" s="2"/>
      <c r="S70" s="2"/>
      <c r="T70" s="2"/>
      <c r="U70" s="2"/>
      <c r="V70" s="2"/>
      <c r="W70" s="2"/>
      <c r="X70" s="2"/>
      <c r="Y70" s="2">
        <v>45</v>
      </c>
      <c r="Z70" s="2"/>
      <c r="AA70" s="2"/>
      <c r="AB70" s="2"/>
      <c r="AC70" s="2"/>
      <c r="AD70" s="2"/>
      <c r="AE70" s="2"/>
      <c r="AF70" s="2"/>
      <c r="AG70" s="2"/>
    </row>
    <row r="71" spans="1:33" ht="19.899999999999999" customHeight="1">
      <c r="A71" s="34"/>
      <c r="B71" s="300" t="str">
        <f>IF(ISERROR(AA$17),"",AA$17&amp;"")&amp;P$59</f>
        <v/>
      </c>
      <c r="C71" s="6"/>
      <c r="D71" s="437"/>
      <c r="E71" s="438"/>
      <c r="F71" s="40"/>
      <c r="G71" s="400"/>
      <c r="H71" s="401"/>
      <c r="I71" s="401"/>
      <c r="J71" s="402"/>
      <c r="K71" s="29"/>
      <c r="L71" s="105"/>
      <c r="P71" s="2"/>
      <c r="Q71" s="2"/>
      <c r="R71" s="2"/>
      <c r="S71" s="2"/>
      <c r="T71" s="2"/>
      <c r="U71" s="2"/>
      <c r="V71" s="2"/>
      <c r="W71" s="2"/>
      <c r="X71" s="2"/>
      <c r="Y71" s="2">
        <v>45</v>
      </c>
      <c r="Z71" s="2"/>
      <c r="AA71" s="2"/>
      <c r="AB71" s="2"/>
      <c r="AC71" s="2"/>
      <c r="AD71" s="2"/>
      <c r="AE71" s="2"/>
      <c r="AF71" s="2"/>
      <c r="AG71" s="2"/>
    </row>
    <row r="72" spans="1:33" ht="19.899999999999999" hidden="1" customHeight="1">
      <c r="A72" s="34"/>
      <c r="B72" s="300" t="str">
        <f>IF(ISERROR(AA$18),"",AA$18&amp;"")&amp;P$60</f>
        <v/>
      </c>
      <c r="C72" s="6"/>
      <c r="D72" s="437"/>
      <c r="E72" s="438"/>
      <c r="F72" s="40"/>
      <c r="G72" s="400"/>
      <c r="H72" s="401"/>
      <c r="I72" s="401"/>
      <c r="J72" s="402"/>
      <c r="K72" s="29"/>
      <c r="L72" s="105"/>
      <c r="P72" s="2"/>
      <c r="Q72" s="2"/>
      <c r="R72" s="2"/>
      <c r="S72" s="2"/>
      <c r="T72" s="2"/>
      <c r="U72" s="2"/>
      <c r="V72" s="2"/>
      <c r="W72" s="2"/>
      <c r="X72" s="2"/>
      <c r="Y72" s="2">
        <v>45</v>
      </c>
      <c r="Z72" s="2"/>
      <c r="AA72" s="2"/>
      <c r="AB72" s="2"/>
      <c r="AC72" s="2"/>
      <c r="AD72" s="2"/>
      <c r="AE72" s="2"/>
      <c r="AF72" s="2"/>
      <c r="AG72" s="2"/>
    </row>
    <row r="73" spans="1:33" ht="19.899999999999999" hidden="1" customHeight="1">
      <c r="A73" s="34"/>
      <c r="B73" s="300" t="str">
        <f>IF(ISERROR(AA$19),"",AA$19&amp;"")&amp;P$61</f>
        <v/>
      </c>
      <c r="C73" s="6"/>
      <c r="D73" s="437"/>
      <c r="E73" s="438"/>
      <c r="F73" s="40"/>
      <c r="G73" s="400"/>
      <c r="H73" s="401"/>
      <c r="I73" s="401"/>
      <c r="J73" s="402"/>
      <c r="K73" s="29"/>
      <c r="L73" s="105"/>
      <c r="P73" s="2"/>
      <c r="Q73" s="2"/>
      <c r="R73" s="2"/>
      <c r="S73" s="2"/>
      <c r="T73" s="2"/>
      <c r="U73" s="2"/>
      <c r="V73" s="2"/>
      <c r="W73" s="2"/>
      <c r="X73" s="2"/>
      <c r="Y73" s="2">
        <v>45</v>
      </c>
      <c r="Z73" s="2"/>
      <c r="AA73" s="2"/>
      <c r="AB73" s="2"/>
      <c r="AC73" s="2"/>
      <c r="AD73" s="2"/>
      <c r="AE73" s="2"/>
      <c r="AF73" s="2"/>
      <c r="AG73" s="2"/>
    </row>
    <row r="74" spans="1:33" ht="19.899999999999999" hidden="1" customHeight="1">
      <c r="A74" s="34"/>
      <c r="B74" s="300" t="str">
        <f>IF(ISERROR(AA$20),"",AA$20&amp;"")&amp;P$62</f>
        <v/>
      </c>
      <c r="C74" s="6"/>
      <c r="D74" s="437"/>
      <c r="E74" s="438"/>
      <c r="F74" s="40"/>
      <c r="G74" s="400"/>
      <c r="H74" s="401"/>
      <c r="I74" s="401"/>
      <c r="J74" s="402"/>
      <c r="K74" s="29"/>
      <c r="L74" s="105"/>
      <c r="P74" s="2"/>
      <c r="Q74" s="2"/>
      <c r="R74" s="2"/>
      <c r="S74" s="2"/>
      <c r="T74" s="2"/>
      <c r="U74" s="2"/>
      <c r="V74" s="2"/>
      <c r="W74" s="2"/>
      <c r="X74" s="2"/>
      <c r="Y74" s="2">
        <v>45</v>
      </c>
      <c r="Z74" s="2"/>
      <c r="AA74" s="2"/>
      <c r="AB74" s="2"/>
      <c r="AC74" s="2"/>
      <c r="AD74" s="2"/>
      <c r="AE74" s="2"/>
      <c r="AF74" s="2"/>
      <c r="AG74" s="2"/>
    </row>
    <row r="75" spans="1:33" ht="19.899999999999999" hidden="1" customHeight="1">
      <c r="A75" s="34"/>
      <c r="B75" s="300" t="str">
        <f>IF(ISERROR(AA$21),"",AA$21&amp;"")&amp;P$63</f>
        <v/>
      </c>
      <c r="C75" s="6"/>
      <c r="D75" s="437"/>
      <c r="E75" s="438"/>
      <c r="F75" s="40"/>
      <c r="G75" s="400"/>
      <c r="H75" s="401"/>
      <c r="I75" s="401"/>
      <c r="J75" s="402"/>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39" t="str">
        <f ca="1">D29</f>
        <v>Answer</v>
      </c>
      <c r="E77" s="43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Cobalt(*)</v>
      </c>
      <c r="C78" s="28"/>
      <c r="D78" s="437" t="s">
        <v>27</v>
      </c>
      <c r="E78" s="438"/>
      <c r="F78" s="40"/>
      <c r="G78" s="400"/>
      <c r="H78" s="401"/>
      <c r="I78" s="401"/>
      <c r="J78" s="402"/>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Mica(*)</v>
      </c>
      <c r="C79" s="28"/>
      <c r="D79" s="437" t="s">
        <v>27</v>
      </c>
      <c r="E79" s="438"/>
      <c r="F79" s="40"/>
      <c r="G79" s="400"/>
      <c r="H79" s="401"/>
      <c r="I79" s="401"/>
      <c r="J79" s="402"/>
      <c r="K79" s="29"/>
      <c r="L79" s="105"/>
      <c r="P79" s="2"/>
      <c r="Q79" s="2"/>
      <c r="R79" s="2"/>
      <c r="S79" s="2"/>
      <c r="T79" s="2"/>
      <c r="U79" s="2"/>
      <c r="V79" s="2"/>
      <c r="W79" s="2"/>
      <c r="X79" s="2"/>
      <c r="Y79" s="2">
        <v>51</v>
      </c>
      <c r="Z79" s="2"/>
      <c r="AA79" s="2"/>
      <c r="AB79" s="2"/>
      <c r="AC79" s="2"/>
      <c r="AD79" s="2"/>
      <c r="AE79" s="2"/>
      <c r="AF79" s="2"/>
      <c r="AG79" s="2"/>
    </row>
    <row r="80" spans="1:33" ht="25.9" customHeight="1">
      <c r="A80" s="34"/>
      <c r="B80" s="300" t="str">
        <f>IF(ISERROR(AA$14),"",AA$14&amp;"")&amp;P$56</f>
        <v/>
      </c>
      <c r="C80" s="28"/>
      <c r="D80" s="437"/>
      <c r="E80" s="438"/>
      <c r="F80" s="40"/>
      <c r="G80" s="400"/>
      <c r="H80" s="401"/>
      <c r="I80" s="401"/>
      <c r="J80" s="402"/>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
      </c>
      <c r="C81" s="28"/>
      <c r="D81" s="437"/>
      <c r="E81" s="438"/>
      <c r="F81" s="40"/>
      <c r="G81" s="400"/>
      <c r="H81" s="401"/>
      <c r="I81" s="401"/>
      <c r="J81" s="402"/>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
      </c>
      <c r="C82" s="28"/>
      <c r="D82" s="437"/>
      <c r="E82" s="438"/>
      <c r="F82" s="40"/>
      <c r="G82" s="400"/>
      <c r="H82" s="401"/>
      <c r="I82" s="401"/>
      <c r="J82" s="402"/>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
      </c>
      <c r="C83" s="28"/>
      <c r="D83" s="437"/>
      <c r="E83" s="438"/>
      <c r="F83" s="40"/>
      <c r="G83" s="400"/>
      <c r="H83" s="401"/>
      <c r="I83" s="401"/>
      <c r="J83" s="402"/>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37"/>
      <c r="E84" s="438"/>
      <c r="F84" s="40"/>
      <c r="G84" s="400"/>
      <c r="H84" s="401"/>
      <c r="I84" s="401"/>
      <c r="J84" s="402"/>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37"/>
      <c r="E85" s="438"/>
      <c r="F85" s="40"/>
      <c r="G85" s="400"/>
      <c r="H85" s="401"/>
      <c r="I85" s="401"/>
      <c r="J85" s="402"/>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37"/>
      <c r="E86" s="438"/>
      <c r="F86" s="40"/>
      <c r="G86" s="400"/>
      <c r="H86" s="401"/>
      <c r="I86" s="401"/>
      <c r="J86" s="402"/>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37"/>
      <c r="E87" s="438"/>
      <c r="F87" s="40"/>
      <c r="G87" s="400"/>
      <c r="H87" s="401"/>
      <c r="I87" s="401"/>
      <c r="J87" s="402"/>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39" t="str">
        <f ca="1">D29</f>
        <v>Answer</v>
      </c>
      <c r="E89" s="439"/>
      <c r="F89" s="14"/>
      <c r="G89" s="37" t="str">
        <f ca="1">G29</f>
        <v>Comments</v>
      </c>
      <c r="H89" s="451"/>
      <c r="I89" s="451"/>
      <c r="J89" s="451"/>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Cobalt(*)</v>
      </c>
      <c r="C90" s="6"/>
      <c r="D90" s="437" t="s">
        <v>25</v>
      </c>
      <c r="E90" s="438"/>
      <c r="F90" s="40"/>
      <c r="G90" s="400" t="s">
        <v>20056</v>
      </c>
      <c r="H90" s="401"/>
      <c r="I90" s="401"/>
      <c r="J90" s="402"/>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Mica(*)</v>
      </c>
      <c r="C91" s="6"/>
      <c r="D91" s="437" t="s">
        <v>25</v>
      </c>
      <c r="E91" s="438"/>
      <c r="F91" s="40"/>
      <c r="G91" s="400" t="s">
        <v>20056</v>
      </c>
      <c r="H91" s="401"/>
      <c r="I91" s="401"/>
      <c r="J91" s="402"/>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
      </c>
      <c r="C92" s="6"/>
      <c r="D92" s="437"/>
      <c r="E92" s="438"/>
      <c r="F92" s="40"/>
      <c r="G92" s="400"/>
      <c r="H92" s="401"/>
      <c r="I92" s="401"/>
      <c r="J92" s="402"/>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
      </c>
      <c r="C93" s="6"/>
      <c r="D93" s="437"/>
      <c r="E93" s="438"/>
      <c r="F93" s="40"/>
      <c r="G93" s="400"/>
      <c r="H93" s="401"/>
      <c r="I93" s="401"/>
      <c r="J93" s="402"/>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
      </c>
      <c r="C94" s="6"/>
      <c r="D94" s="437"/>
      <c r="E94" s="438"/>
      <c r="F94" s="40"/>
      <c r="G94" s="400"/>
      <c r="H94" s="401"/>
      <c r="I94" s="401"/>
      <c r="J94" s="402"/>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
      </c>
      <c r="C95" s="6"/>
      <c r="D95" s="437"/>
      <c r="E95" s="438"/>
      <c r="F95" s="40"/>
      <c r="G95" s="400"/>
      <c r="H95" s="401"/>
      <c r="I95" s="401"/>
      <c r="J95" s="402"/>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37"/>
      <c r="E96" s="438"/>
      <c r="F96" s="40"/>
      <c r="G96" s="400"/>
      <c r="H96" s="401"/>
      <c r="I96" s="401"/>
      <c r="J96" s="402"/>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37"/>
      <c r="E97" s="438"/>
      <c r="F97" s="40"/>
      <c r="G97" s="400"/>
      <c r="H97" s="401"/>
      <c r="I97" s="401"/>
      <c r="J97" s="402"/>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37"/>
      <c r="E98" s="438"/>
      <c r="F98" s="40"/>
      <c r="G98" s="400"/>
      <c r="H98" s="401"/>
      <c r="I98" s="401"/>
      <c r="J98" s="402"/>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37"/>
      <c r="E99" s="438"/>
      <c r="F99" s="40"/>
      <c r="G99" s="400"/>
      <c r="H99" s="401"/>
      <c r="I99" s="401"/>
      <c r="J99" s="402"/>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39" t="str">
        <f ca="1">D29</f>
        <v>Answer</v>
      </c>
      <c r="E101" s="439"/>
      <c r="F101" s="14"/>
      <c r="G101" s="37" t="str">
        <f ca="1">G29</f>
        <v>Comments</v>
      </c>
      <c r="H101" s="451" t="str">
        <f>IF(Q115="(*)","Click here to enter smelter names","")</f>
        <v/>
      </c>
      <c r="I101" s="451"/>
      <c r="J101" s="451"/>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Cobalt(*)</v>
      </c>
      <c r="C102" s="28"/>
      <c r="D102" s="437" t="s">
        <v>25</v>
      </c>
      <c r="E102" s="438"/>
      <c r="F102" s="41"/>
      <c r="G102" s="400"/>
      <c r="H102" s="401"/>
      <c r="I102" s="401"/>
      <c r="J102" s="402"/>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Mica(*)</v>
      </c>
      <c r="C103" s="28"/>
      <c r="D103" s="437" t="s">
        <v>25</v>
      </c>
      <c r="E103" s="438"/>
      <c r="F103" s="41"/>
      <c r="G103" s="400"/>
      <c r="H103" s="401"/>
      <c r="I103" s="401"/>
      <c r="J103" s="402"/>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
      </c>
      <c r="C104" s="28"/>
      <c r="D104" s="437"/>
      <c r="E104" s="438"/>
      <c r="F104" s="41"/>
      <c r="G104" s="400"/>
      <c r="H104" s="401"/>
      <c r="I104" s="401"/>
      <c r="J104" s="402"/>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
      </c>
      <c r="C105" s="28"/>
      <c r="D105" s="437"/>
      <c r="E105" s="438"/>
      <c r="F105" s="41"/>
      <c r="G105" s="400"/>
      <c r="H105" s="401"/>
      <c r="I105" s="401"/>
      <c r="J105" s="402"/>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
      </c>
      <c r="C106" s="28"/>
      <c r="D106" s="437"/>
      <c r="E106" s="438"/>
      <c r="F106" s="41"/>
      <c r="G106" s="400"/>
      <c r="H106" s="401"/>
      <c r="I106" s="401"/>
      <c r="J106" s="402"/>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
      </c>
      <c r="C107" s="28"/>
      <c r="D107" s="437"/>
      <c r="E107" s="438"/>
      <c r="F107" s="41"/>
      <c r="G107" s="400"/>
      <c r="H107" s="401"/>
      <c r="I107" s="401"/>
      <c r="J107" s="402"/>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37"/>
      <c r="E108" s="438"/>
      <c r="F108" s="41"/>
      <c r="G108" s="400"/>
      <c r="H108" s="401"/>
      <c r="I108" s="401"/>
      <c r="J108" s="402"/>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37"/>
      <c r="E109" s="438"/>
      <c r="F109" s="41"/>
      <c r="G109" s="400"/>
      <c r="H109" s="401"/>
      <c r="I109" s="401"/>
      <c r="J109" s="402"/>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37"/>
      <c r="E110" s="438"/>
      <c r="F110" s="41"/>
      <c r="G110" s="400"/>
      <c r="H110" s="401"/>
      <c r="I110" s="401"/>
      <c r="J110" s="402"/>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37"/>
      <c r="E111" s="438"/>
      <c r="F111" s="43"/>
      <c r="G111" s="400"/>
      <c r="H111" s="401"/>
      <c r="I111" s="401"/>
      <c r="J111" s="402"/>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52" t="str">
        <f ca="1">OFFSET(L!$C$1,MATCH("Declaration"&amp;ADDRESS(ROW(),COLUMN(),4),L!$A:$A,0)-1,SL,,)</f>
        <v>Answer the Following Questions at a Company Level</v>
      </c>
      <c r="C113" s="452"/>
      <c r="D113" s="452"/>
      <c r="E113" s="452"/>
      <c r="F113" s="452"/>
      <c r="G113" s="452"/>
      <c r="H113" s="452"/>
      <c r="I113" s="452"/>
      <c r="J113" s="452"/>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48" t="str">
        <f ca="1">D29</f>
        <v>Answer</v>
      </c>
      <c r="E114" s="448"/>
      <c r="F114" s="46"/>
      <c r="G114" s="448" t="str">
        <f ca="1">G29</f>
        <v>Comments</v>
      </c>
      <c r="H114" s="448" t="e">
        <f>HLOOKUP(SL,LT,$O114,0)</f>
        <v>#NAME?</v>
      </c>
      <c r="I114" s="448"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37" t="s">
        <v>25</v>
      </c>
      <c r="E115" s="438"/>
      <c r="F115" s="50"/>
      <c r="G115" s="400"/>
      <c r="H115" s="401"/>
      <c r="I115" s="401"/>
      <c r="J115" s="402"/>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53"/>
      <c r="H116" s="453"/>
      <c r="I116" s="453"/>
      <c r="J116" s="453"/>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37" t="s">
        <v>25</v>
      </c>
      <c r="E117" s="438"/>
      <c r="F117" s="50"/>
      <c r="G117" s="454" t="s">
        <v>20057</v>
      </c>
      <c r="H117" s="455"/>
      <c r="I117" s="455"/>
      <c r="J117" s="456"/>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57"/>
      <c r="E119" s="457"/>
      <c r="F119" s="233"/>
      <c r="G119" s="458"/>
      <c r="H119" s="458"/>
      <c r="I119" s="458"/>
      <c r="J119" s="458"/>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Cobalt(*)</v>
      </c>
      <c r="C120" s="294"/>
      <c r="D120" s="437" t="s">
        <v>25</v>
      </c>
      <c r="E120" s="438"/>
      <c r="F120" s="8"/>
      <c r="G120" s="400"/>
      <c r="H120" s="401"/>
      <c r="I120" s="401"/>
      <c r="J120" s="402"/>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Mica(*)</v>
      </c>
      <c r="C121" s="294"/>
      <c r="D121" s="437" t="s">
        <v>25</v>
      </c>
      <c r="E121" s="438"/>
      <c r="F121" s="8"/>
      <c r="G121" s="400"/>
      <c r="H121" s="401"/>
      <c r="I121" s="401"/>
      <c r="J121" s="402"/>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
      </c>
      <c r="C122" s="6"/>
      <c r="D122" s="437"/>
      <c r="E122" s="438"/>
      <c r="F122" s="8"/>
      <c r="G122" s="400"/>
      <c r="H122" s="401"/>
      <c r="I122" s="401"/>
      <c r="J122" s="402"/>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
      </c>
      <c r="C123" s="6"/>
      <c r="D123" s="437"/>
      <c r="E123" s="438"/>
      <c r="F123" s="8"/>
      <c r="G123" s="400"/>
      <c r="H123" s="401"/>
      <c r="I123" s="401"/>
      <c r="J123" s="402"/>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
      </c>
      <c r="C124" s="6"/>
      <c r="D124" s="437"/>
      <c r="E124" s="438"/>
      <c r="F124" s="8"/>
      <c r="G124" s="400"/>
      <c r="H124" s="401"/>
      <c r="I124" s="401"/>
      <c r="J124" s="402"/>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
      </c>
      <c r="C125" s="6"/>
      <c r="D125" s="437"/>
      <c r="E125" s="438"/>
      <c r="F125" s="8"/>
      <c r="G125" s="400"/>
      <c r="H125" s="401"/>
      <c r="I125" s="401"/>
      <c r="J125" s="402"/>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37"/>
      <c r="E126" s="438"/>
      <c r="F126" s="8"/>
      <c r="G126" s="400"/>
      <c r="H126" s="401"/>
      <c r="I126" s="401"/>
      <c r="J126" s="402"/>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37"/>
      <c r="E127" s="438"/>
      <c r="F127" s="8"/>
      <c r="G127" s="400"/>
      <c r="H127" s="401"/>
      <c r="I127" s="401"/>
      <c r="J127" s="402"/>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37"/>
      <c r="E128" s="438"/>
      <c r="F128" s="8"/>
      <c r="G128" s="400"/>
      <c r="H128" s="401"/>
      <c r="I128" s="401"/>
      <c r="J128" s="402"/>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37"/>
      <c r="E129" s="438"/>
      <c r="F129" s="8"/>
      <c r="G129" s="400"/>
      <c r="H129" s="401"/>
      <c r="I129" s="401"/>
      <c r="J129" s="402"/>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37" t="s">
        <v>25</v>
      </c>
      <c r="E131" s="438"/>
      <c r="F131" s="50"/>
      <c r="G131" s="400"/>
      <c r="H131" s="401"/>
      <c r="I131" s="401"/>
      <c r="J131" s="402"/>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62" t="s">
        <v>33</v>
      </c>
      <c r="E133" s="463"/>
      <c r="F133" s="50"/>
      <c r="G133" s="400" t="s">
        <v>20058</v>
      </c>
      <c r="H133" s="401"/>
      <c r="I133" s="401"/>
      <c r="J133" s="402"/>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53"/>
      <c r="H134" s="453"/>
      <c r="I134" s="453"/>
      <c r="J134" s="453"/>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37" t="s">
        <v>25</v>
      </c>
      <c r="E135" s="438"/>
      <c r="F135" s="50"/>
      <c r="G135" s="400"/>
      <c r="H135" s="401"/>
      <c r="I135" s="401"/>
      <c r="J135" s="402"/>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64"/>
      <c r="H136" s="464"/>
      <c r="I136" s="464"/>
      <c r="J136" s="464"/>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37" t="s">
        <v>25</v>
      </c>
      <c r="E137" s="438"/>
      <c r="F137" s="50"/>
      <c r="G137" s="400"/>
      <c r="H137" s="401"/>
      <c r="I137" s="401"/>
      <c r="J137" s="402"/>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59" t="str">
        <f>IF(OR($D$8="",$I$3=""),"","Click here to check required fields completion")</f>
        <v/>
      </c>
      <c r="C138" s="459"/>
      <c r="D138" s="459"/>
      <c r="E138" s="459"/>
      <c r="F138" s="459"/>
      <c r="G138" s="459"/>
      <c r="H138" s="459"/>
      <c r="I138" s="459"/>
      <c r="J138" s="459"/>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60" t="str">
        <f ca="1">OFFSET(L!$C$1,MATCH("General"&amp;"Cpy",L!$A:$A,0)-1,SL,,)</f>
        <v>© 2025 Responsible Minerals Initiative. All rights reserved.</v>
      </c>
      <c r="B139" s="461"/>
      <c r="C139" s="461"/>
      <c r="D139" s="461"/>
      <c r="E139" s="461"/>
      <c r="F139" s="461"/>
      <c r="G139" s="461"/>
      <c r="H139" s="461"/>
      <c r="I139" s="461"/>
      <c r="J139" s="461"/>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649999999999999" customHeight="1"/>
    <row r="142" spans="1:33" ht="17.649999999999999" hidden="1" customHeight="1">
      <c r="B142" s="369"/>
    </row>
    <row r="143" spans="1:33" ht="17.649999999999999" hidden="1" customHeight="1"/>
    <row r="144" spans="1:33" ht="17.649999999999999" hidden="1" customHeight="1">
      <c r="B144" s="172" t="s">
        <v>25</v>
      </c>
    </row>
    <row r="145" spans="2:2" ht="17.649999999999999" hidden="1" customHeight="1">
      <c r="B145" s="172" t="s">
        <v>22</v>
      </c>
    </row>
    <row r="146" spans="2:2" ht="17.649999999999999" hidden="1" customHeight="1">
      <c r="B146" s="172" t="s">
        <v>26</v>
      </c>
    </row>
    <row r="147" spans="2:2" ht="17.649999999999999" hidden="1" customHeight="1">
      <c r="B147" s="172" t="s">
        <v>18639</v>
      </c>
    </row>
    <row r="148" spans="2:2" ht="17.649999999999999" hidden="1" customHeight="1">
      <c r="B148" s="172" t="s">
        <v>25</v>
      </c>
    </row>
    <row r="149" spans="2:2" ht="17.649999999999999" hidden="1" customHeight="1">
      <c r="B149" s="172" t="s">
        <v>22</v>
      </c>
    </row>
    <row r="150" spans="2:2" ht="17.649999999999999" hidden="1" customHeight="1">
      <c r="B150" s="172" t="s">
        <v>26</v>
      </c>
    </row>
    <row r="151" spans="2:2" ht="17.649999999999999" hidden="1" customHeight="1">
      <c r="B151" s="309" t="s">
        <v>18917</v>
      </c>
    </row>
    <row r="152" spans="2:2" ht="17.649999999999999" hidden="1" customHeight="1">
      <c r="B152" s="172" t="s">
        <v>27</v>
      </c>
    </row>
    <row r="153" spans="2:2" ht="17.649999999999999" hidden="1" customHeight="1">
      <c r="B153" s="172" t="s">
        <v>28</v>
      </c>
    </row>
    <row r="154" spans="2:2" ht="17.649999999999999" hidden="1" customHeight="1">
      <c r="B154" s="172" t="s">
        <v>29</v>
      </c>
    </row>
    <row r="155" spans="2:2" ht="17.649999999999999" hidden="1" customHeight="1">
      <c r="B155" s="172" t="s">
        <v>30</v>
      </c>
    </row>
    <row r="156" spans="2:2" ht="17.649999999999999" hidden="1" customHeight="1">
      <c r="B156" s="172" t="s">
        <v>31</v>
      </c>
    </row>
    <row r="157" spans="2:2" ht="17.649999999999999" hidden="1" customHeight="1">
      <c r="B157" s="172" t="s">
        <v>18640</v>
      </c>
    </row>
    <row r="158" spans="2:2" ht="17.649999999999999" hidden="1" customHeight="1">
      <c r="B158" s="172" t="s">
        <v>32</v>
      </c>
    </row>
    <row r="159" spans="2:2" ht="17.649999999999999" hidden="1" customHeight="1">
      <c r="B159" s="172" t="s">
        <v>25</v>
      </c>
    </row>
    <row r="160" spans="2:2" ht="17.649999999999999" hidden="1" customHeight="1">
      <c r="B160" s="172" t="s">
        <v>22</v>
      </c>
    </row>
    <row r="161" spans="2:3" ht="17.649999999999999" hidden="1" customHeight="1">
      <c r="B161" s="172" t="s">
        <v>32</v>
      </c>
    </row>
    <row r="162" spans="2:3" ht="17.649999999999999" hidden="1" customHeight="1">
      <c r="B162" s="172" t="s">
        <v>33</v>
      </c>
    </row>
    <row r="163" spans="2:3" ht="17.649999999999999" hidden="1" customHeight="1">
      <c r="B163" s="172" t="s">
        <v>22</v>
      </c>
    </row>
    <row r="164" spans="2:3" ht="17.649999999999999" hidden="1" customHeight="1">
      <c r="B164" s="172" t="s">
        <v>25</v>
      </c>
    </row>
    <row r="165" spans="2:3" ht="17.649999999999999" hidden="1" customHeight="1">
      <c r="B165" s="172" t="s">
        <v>22</v>
      </c>
    </row>
    <row r="166" spans="2:3" ht="17.649999999999999" hidden="1" customHeight="1">
      <c r="B166" s="172" t="s">
        <v>26</v>
      </c>
    </row>
    <row r="167" spans="2:3" ht="17.649999999999999" hidden="1" customHeight="1">
      <c r="B167" s="172" t="s">
        <v>34</v>
      </c>
    </row>
    <row r="168" spans="2:3" ht="17.649999999999999" hidden="1" customHeight="1">
      <c r="B168" s="172" t="s">
        <v>35</v>
      </c>
    </row>
    <row r="169" spans="2:3" ht="17.649999999999999" hidden="1" customHeight="1">
      <c r="B169" s="172" t="s">
        <v>36</v>
      </c>
    </row>
    <row r="170" spans="2:3" ht="17.649999999999999" hidden="1" customHeight="1">
      <c r="B170" s="172" t="s">
        <v>37</v>
      </c>
    </row>
    <row r="171" spans="2:3" ht="17.649999999999999" hidden="1" customHeight="1">
      <c r="B171" s="172" t="s">
        <v>22</v>
      </c>
    </row>
    <row r="172" spans="2:3" ht="17.649999999999999" hidden="1" customHeight="1">
      <c r="B172" s="172" t="s">
        <v>25</v>
      </c>
    </row>
    <row r="173" spans="2:3" ht="17.649999999999999" hidden="1" customHeight="1">
      <c r="B173" s="172" t="s">
        <v>38</v>
      </c>
    </row>
    <row r="174" spans="2:3" ht="17.649999999999999" hidden="1" customHeight="1">
      <c r="B174" s="172" t="s">
        <v>22</v>
      </c>
    </row>
    <row r="175" spans="2:3" ht="17.649999999999999" hidden="1" customHeight="1">
      <c r="B175" s="172" t="s">
        <v>40</v>
      </c>
      <c r="C175" t="s">
        <v>19146</v>
      </c>
    </row>
    <row r="176" spans="2:3" ht="17.649999999999999" hidden="1" customHeight="1">
      <c r="B176" s="172" t="s">
        <v>18641</v>
      </c>
      <c r="C176" t="s">
        <v>19147</v>
      </c>
    </row>
    <row r="177" spans="2:3" ht="17.649999999999999" hidden="1" customHeight="1">
      <c r="B177" s="172" t="s">
        <v>18643</v>
      </c>
      <c r="C177" t="s">
        <v>19148</v>
      </c>
    </row>
    <row r="178" spans="2:3" ht="17.649999999999999" hidden="1" customHeight="1">
      <c r="B178" s="172" t="s">
        <v>18644</v>
      </c>
      <c r="C178" t="s">
        <v>19149</v>
      </c>
    </row>
    <row r="179" spans="2:3" ht="17.649999999999999" hidden="1" customHeight="1">
      <c r="B179" s="172" t="s">
        <v>41</v>
      </c>
      <c r="C179" t="s">
        <v>19150</v>
      </c>
    </row>
    <row r="180" spans="2:3" ht="17.649999999999999" hidden="1" customHeight="1">
      <c r="B180" s="172" t="s">
        <v>18642</v>
      </c>
      <c r="C180" t="s">
        <v>19151</v>
      </c>
    </row>
    <row r="181" spans="2:3" ht="17.649999999999999" hidden="1" customHeight="1">
      <c r="B181" s="172"/>
    </row>
    <row r="182" spans="2:3" ht="17.649999999999999" hidden="1" customHeight="1">
      <c r="B182" s="172"/>
    </row>
    <row r="183" spans="2:3" ht="17.649999999999999" hidden="1" customHeight="1">
      <c r="B183" s="172"/>
    </row>
    <row r="184" spans="2:3" ht="17.649999999999999" hidden="1" customHeight="1">
      <c r="B184" s="172"/>
    </row>
    <row r="185" spans="2:3" ht="17.649999999999999" hidden="1" customHeight="1">
      <c r="B185" s="172" t="s">
        <v>18645</v>
      </c>
    </row>
    <row r="186" spans="2:3" ht="17.649999999999999" hidden="1" customHeight="1"/>
    <row r="187" spans="2:3" ht="17.649999999999999" hidden="1" customHeight="1"/>
    <row r="188" spans="2:3" ht="17.649999999999999" hidden="1" customHeight="1">
      <c r="B188" s="370"/>
    </row>
    <row r="189" spans="2:3" ht="17.649999999999999" customHeigh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4" type="noConversion"/>
  <conditionalFormatting sqref="B30">
    <cfRule type="expression" dxfId="340" priority="307" stopIfTrue="1">
      <formula>IF($B$30="",TRUE)</formula>
    </cfRule>
  </conditionalFormatting>
  <conditionalFormatting sqref="B31">
    <cfRule type="expression" dxfId="339" priority="305">
      <formula>IF($B$31="",TRUE)</formula>
    </cfRule>
  </conditionalFormatting>
  <conditionalFormatting sqref="B32">
    <cfRule type="expression" dxfId="338" priority="304">
      <formula>IF($B$32="",TRUE)</formula>
    </cfRule>
  </conditionalFormatting>
  <conditionalFormatting sqref="B33">
    <cfRule type="expression" dxfId="337" priority="303">
      <formula>IF($B$33="",TRUE)</formula>
    </cfRule>
  </conditionalFormatting>
  <conditionalFormatting sqref="B34">
    <cfRule type="expression" dxfId="336" priority="302">
      <formula>IF($B$34="",TRUE)</formula>
    </cfRule>
  </conditionalFormatting>
  <conditionalFormatting sqref="B35">
    <cfRule type="expression" dxfId="335" priority="301">
      <formula>IF($B$35="",TRUE)</formula>
    </cfRule>
  </conditionalFormatting>
  <conditionalFormatting sqref="B36">
    <cfRule type="expression" dxfId="334" priority="300">
      <formula>IF($B$36="",TRUE)</formula>
    </cfRule>
  </conditionalFormatting>
  <conditionalFormatting sqref="B37">
    <cfRule type="expression" dxfId="333" priority="299">
      <formula>IF($B$37="",TRUE)</formula>
    </cfRule>
  </conditionalFormatting>
  <conditionalFormatting sqref="B38">
    <cfRule type="expression" dxfId="332" priority="298">
      <formula>IF($B$38="",TRUE)</formula>
    </cfRule>
  </conditionalFormatting>
  <conditionalFormatting sqref="B39">
    <cfRule type="expression" dxfId="331" priority="297">
      <formula>IF($B$39="",TRUE)</formula>
    </cfRule>
  </conditionalFormatting>
  <conditionalFormatting sqref="B42">
    <cfRule type="expression" dxfId="330" priority="279" stopIfTrue="1">
      <formula>IF($B$42="",TRUE)</formula>
    </cfRule>
  </conditionalFormatting>
  <conditionalFormatting sqref="B43">
    <cfRule type="expression" dxfId="329" priority="278" stopIfTrue="1">
      <formula>IF($B$43="",TRUE)</formula>
    </cfRule>
  </conditionalFormatting>
  <conditionalFormatting sqref="B44">
    <cfRule type="expression" dxfId="328" priority="277" stopIfTrue="1">
      <formula>IF($B$44="",TRUE)</formula>
    </cfRule>
  </conditionalFormatting>
  <conditionalFormatting sqref="B45">
    <cfRule type="expression" dxfId="327" priority="276" stopIfTrue="1">
      <formula>IF($B$45="",TRUE)</formula>
    </cfRule>
  </conditionalFormatting>
  <conditionalFormatting sqref="B46">
    <cfRule type="expression" dxfId="326" priority="275" stopIfTrue="1">
      <formula>IF($B$46="",TRUE)</formula>
    </cfRule>
  </conditionalFormatting>
  <conditionalFormatting sqref="B47">
    <cfRule type="expression" dxfId="325" priority="274" stopIfTrue="1">
      <formula>IF($B$47="",TRUE)</formula>
    </cfRule>
  </conditionalFormatting>
  <conditionalFormatting sqref="B48">
    <cfRule type="expression" dxfId="324" priority="273" stopIfTrue="1">
      <formula>IF($B$48="",TRUE)</formula>
    </cfRule>
  </conditionalFormatting>
  <conditionalFormatting sqref="B49">
    <cfRule type="expression" dxfId="323" priority="272" stopIfTrue="1">
      <formula>IF($B$49="",TRUE)</formula>
    </cfRule>
  </conditionalFormatting>
  <conditionalFormatting sqref="B50">
    <cfRule type="expression" dxfId="322" priority="271" stopIfTrue="1">
      <formula>IF($B$50="",TRUE)</formula>
    </cfRule>
  </conditionalFormatting>
  <conditionalFormatting sqref="B51">
    <cfRule type="expression" dxfId="321" priority="270" stopIfTrue="1">
      <formula>IF($B$51="",TRUE)</formula>
    </cfRule>
  </conditionalFormatting>
  <conditionalFormatting sqref="B54">
    <cfRule type="expression" dxfId="320" priority="262" stopIfTrue="1">
      <formula>IF($B$54="",TRUE)</formula>
    </cfRule>
  </conditionalFormatting>
  <conditionalFormatting sqref="B55">
    <cfRule type="expression" dxfId="319" priority="244" stopIfTrue="1">
      <formula>IF($B$55="",TRUE)</formula>
    </cfRule>
  </conditionalFormatting>
  <conditionalFormatting sqref="B56">
    <cfRule type="expression" dxfId="318" priority="261" stopIfTrue="1">
      <formula>IF($B$56="",TRUE)</formula>
    </cfRule>
  </conditionalFormatting>
  <conditionalFormatting sqref="B57">
    <cfRule type="expression" dxfId="317" priority="260" stopIfTrue="1">
      <formula>IF($B$57="",TRUE)</formula>
    </cfRule>
  </conditionalFormatting>
  <conditionalFormatting sqref="B58">
    <cfRule type="expression" dxfId="316" priority="259" stopIfTrue="1">
      <formula>IF($B$58="",TRUE)</formula>
    </cfRule>
  </conditionalFormatting>
  <conditionalFormatting sqref="B59">
    <cfRule type="expression" dxfId="315" priority="258" stopIfTrue="1">
      <formula>IF($B$59="",TRUE)</formula>
    </cfRule>
  </conditionalFormatting>
  <conditionalFormatting sqref="B60">
    <cfRule type="expression" dxfId="314" priority="257" stopIfTrue="1">
      <formula>IF($B$60="",TRUE)</formula>
    </cfRule>
  </conditionalFormatting>
  <conditionalFormatting sqref="B61">
    <cfRule type="expression" dxfId="313" priority="256" stopIfTrue="1">
      <formula>IF($B$61="",TRUE)</formula>
    </cfRule>
  </conditionalFormatting>
  <conditionalFormatting sqref="B62">
    <cfRule type="expression" dxfId="312" priority="255" stopIfTrue="1">
      <formula>IF($B$62="",TRUE)</formula>
    </cfRule>
  </conditionalFormatting>
  <conditionalFormatting sqref="B63">
    <cfRule type="expression" dxfId="311" priority="254" stopIfTrue="1">
      <formula>IF($B$63="",TRUE)</formula>
    </cfRule>
  </conditionalFormatting>
  <conditionalFormatting sqref="B66">
    <cfRule type="expression" dxfId="310" priority="253" stopIfTrue="1">
      <formula>IF($B$54="",TRUE)</formula>
    </cfRule>
  </conditionalFormatting>
  <conditionalFormatting sqref="B67">
    <cfRule type="expression" dxfId="309" priority="243" stopIfTrue="1">
      <formula>IF($B$55="",TRUE)</formula>
    </cfRule>
  </conditionalFormatting>
  <conditionalFormatting sqref="B68">
    <cfRule type="expression" dxfId="308" priority="252" stopIfTrue="1">
      <formula>IF($B$56="",TRUE)</formula>
    </cfRule>
  </conditionalFormatting>
  <conditionalFormatting sqref="B69">
    <cfRule type="expression" dxfId="307" priority="251" stopIfTrue="1">
      <formula>IF($B$57="",TRUE)</formula>
    </cfRule>
  </conditionalFormatting>
  <conditionalFormatting sqref="B70">
    <cfRule type="expression" dxfId="306" priority="250" stopIfTrue="1">
      <formula>IF($B$58="",TRUE)</formula>
    </cfRule>
  </conditionalFormatting>
  <conditionalFormatting sqref="B71">
    <cfRule type="expression" dxfId="305" priority="249" stopIfTrue="1">
      <formula>IF($B$59="",TRUE)</formula>
    </cfRule>
  </conditionalFormatting>
  <conditionalFormatting sqref="B72">
    <cfRule type="expression" dxfId="304" priority="248" stopIfTrue="1">
      <formula>IF($B$60="",TRUE)</formula>
    </cfRule>
  </conditionalFormatting>
  <conditionalFormatting sqref="B73">
    <cfRule type="expression" dxfId="303" priority="247" stopIfTrue="1">
      <formula>IF($B$61="",TRUE)</formula>
    </cfRule>
  </conditionalFormatting>
  <conditionalFormatting sqref="B74">
    <cfRule type="expression" dxfId="302" priority="246" stopIfTrue="1">
      <formula>IF($B$62="",TRUE)</formula>
    </cfRule>
  </conditionalFormatting>
  <conditionalFormatting sqref="B75">
    <cfRule type="expression" dxfId="301" priority="245" stopIfTrue="1">
      <formula>IF($B$63="",TRUE)</formula>
    </cfRule>
  </conditionalFormatting>
  <conditionalFormatting sqref="B78">
    <cfRule type="expression" dxfId="300" priority="242" stopIfTrue="1">
      <formula>IF($B$54="",TRUE)</formula>
    </cfRule>
  </conditionalFormatting>
  <conditionalFormatting sqref="B79">
    <cfRule type="expression" dxfId="299" priority="233" stopIfTrue="1">
      <formula>IF($B$55="",TRUE)</formula>
    </cfRule>
  </conditionalFormatting>
  <conditionalFormatting sqref="B80">
    <cfRule type="expression" dxfId="298" priority="241" stopIfTrue="1">
      <formula>IF($B$56="",TRUE)</formula>
    </cfRule>
  </conditionalFormatting>
  <conditionalFormatting sqref="B81">
    <cfRule type="expression" dxfId="297" priority="240" stopIfTrue="1">
      <formula>IF($B$57="",TRUE)</formula>
    </cfRule>
  </conditionalFormatting>
  <conditionalFormatting sqref="B82">
    <cfRule type="expression" dxfId="296" priority="239" stopIfTrue="1">
      <formula>IF($B$58="",TRUE)</formula>
    </cfRule>
  </conditionalFormatting>
  <conditionalFormatting sqref="B83">
    <cfRule type="expression" dxfId="295" priority="238" stopIfTrue="1">
      <formula>IF($B$59="",TRUE)</formula>
    </cfRule>
  </conditionalFormatting>
  <conditionalFormatting sqref="B84">
    <cfRule type="expression" dxfId="294" priority="237" stopIfTrue="1">
      <formula>IF($B$60="",TRUE)</formula>
    </cfRule>
  </conditionalFormatting>
  <conditionalFormatting sqref="B85">
    <cfRule type="expression" dxfId="293" priority="236" stopIfTrue="1">
      <formula>IF($B$61="",TRUE)</formula>
    </cfRule>
  </conditionalFormatting>
  <conditionalFormatting sqref="B86">
    <cfRule type="expression" dxfId="292" priority="235" stopIfTrue="1">
      <formula>IF($B$62="",TRUE)</formula>
    </cfRule>
  </conditionalFormatting>
  <conditionalFormatting sqref="B87">
    <cfRule type="expression" dxfId="291" priority="234" stopIfTrue="1">
      <formula>IF($B$63="",TRUE)</formula>
    </cfRule>
  </conditionalFormatting>
  <conditionalFormatting sqref="B90">
    <cfRule type="expression" dxfId="290" priority="232" stopIfTrue="1">
      <formula>IF($B$54="",TRUE)</formula>
    </cfRule>
  </conditionalFormatting>
  <conditionalFormatting sqref="B91">
    <cfRule type="expression" dxfId="289" priority="223" stopIfTrue="1">
      <formula>IF($B$55="",TRUE)</formula>
    </cfRule>
  </conditionalFormatting>
  <conditionalFormatting sqref="B92">
    <cfRule type="expression" dxfId="288" priority="231" stopIfTrue="1">
      <formula>IF($B$56="",TRUE)</formula>
    </cfRule>
  </conditionalFormatting>
  <conditionalFormatting sqref="B93">
    <cfRule type="expression" dxfId="287" priority="230" stopIfTrue="1">
      <formula>IF($B$57="",TRUE)</formula>
    </cfRule>
  </conditionalFormatting>
  <conditionalFormatting sqref="B94">
    <cfRule type="expression" dxfId="286" priority="229" stopIfTrue="1">
      <formula>IF($B$58="",TRUE)</formula>
    </cfRule>
  </conditionalFormatting>
  <conditionalFormatting sqref="B95">
    <cfRule type="expression" dxfId="285" priority="228" stopIfTrue="1">
      <formula>IF($B$59="",TRUE)</formula>
    </cfRule>
  </conditionalFormatting>
  <conditionalFormatting sqref="B96">
    <cfRule type="expression" dxfId="284" priority="227" stopIfTrue="1">
      <formula>IF($B$60="",TRUE)</formula>
    </cfRule>
  </conditionalFormatting>
  <conditionalFormatting sqref="B97">
    <cfRule type="expression" dxfId="283" priority="226" stopIfTrue="1">
      <formula>IF($B$61="",TRUE)</formula>
    </cfRule>
  </conditionalFormatting>
  <conditionalFormatting sqref="B98">
    <cfRule type="expression" dxfId="282" priority="225" stopIfTrue="1">
      <formula>IF($B$62="",TRUE)</formula>
    </cfRule>
  </conditionalFormatting>
  <conditionalFormatting sqref="B99">
    <cfRule type="expression" dxfId="281" priority="224" stopIfTrue="1">
      <formula>IF($B$63="",TRUE)</formula>
    </cfRule>
  </conditionalFormatting>
  <conditionalFormatting sqref="B102">
    <cfRule type="expression" dxfId="280" priority="222" stopIfTrue="1">
      <formula>IF($B$54="",TRUE)</formula>
    </cfRule>
  </conditionalFormatting>
  <conditionalFormatting sqref="B103">
    <cfRule type="expression" dxfId="279" priority="213" stopIfTrue="1">
      <formula>IF($B$55="",TRUE)</formula>
    </cfRule>
  </conditionalFormatting>
  <conditionalFormatting sqref="B104">
    <cfRule type="expression" dxfId="278" priority="221" stopIfTrue="1">
      <formula>IF($B$56="",TRUE)</formula>
    </cfRule>
  </conditionalFormatting>
  <conditionalFormatting sqref="B105">
    <cfRule type="expression" dxfId="277" priority="220" stopIfTrue="1">
      <formula>IF($B$57="",TRUE)</formula>
    </cfRule>
  </conditionalFormatting>
  <conditionalFormatting sqref="B106">
    <cfRule type="expression" dxfId="276" priority="219" stopIfTrue="1">
      <formula>IF($B$58="",TRUE)</formula>
    </cfRule>
  </conditionalFormatting>
  <conditionalFormatting sqref="B107">
    <cfRule type="expression" dxfId="275" priority="218" stopIfTrue="1">
      <formula>IF($B$59="",TRUE)</formula>
    </cfRule>
  </conditionalFormatting>
  <conditionalFormatting sqref="B108">
    <cfRule type="expression" dxfId="274" priority="217" stopIfTrue="1">
      <formula>IF($B$60="",TRUE)</formula>
    </cfRule>
  </conditionalFormatting>
  <conditionalFormatting sqref="B109">
    <cfRule type="expression" dxfId="273" priority="216" stopIfTrue="1">
      <formula>IF($B$61="",TRUE)</formula>
    </cfRule>
  </conditionalFormatting>
  <conditionalFormatting sqref="B110">
    <cfRule type="expression" dxfId="272" priority="215" stopIfTrue="1">
      <formula>IF($B$62="",TRUE)</formula>
    </cfRule>
  </conditionalFormatting>
  <conditionalFormatting sqref="B111">
    <cfRule type="expression" dxfId="271" priority="214" stopIfTrue="1">
      <formula>IF($B$63="",TRUE)</formula>
    </cfRule>
  </conditionalFormatting>
  <conditionalFormatting sqref="B120">
    <cfRule type="expression" dxfId="270" priority="191" stopIfTrue="1">
      <formula>IF($B$54="",TRUE)</formula>
    </cfRule>
  </conditionalFormatting>
  <conditionalFormatting sqref="B121">
    <cfRule type="expression" dxfId="269" priority="182" stopIfTrue="1">
      <formula>IF($B$55="",TRUE)</formula>
    </cfRule>
  </conditionalFormatting>
  <conditionalFormatting sqref="B122">
    <cfRule type="expression" dxfId="268" priority="190" stopIfTrue="1">
      <formula>IF($B$56="",TRUE)</formula>
    </cfRule>
  </conditionalFormatting>
  <conditionalFormatting sqref="B123">
    <cfRule type="expression" dxfId="267" priority="189" stopIfTrue="1">
      <formula>IF($B$57="",TRUE)</formula>
    </cfRule>
  </conditionalFormatting>
  <conditionalFormatting sqref="B124">
    <cfRule type="expression" dxfId="266" priority="188" stopIfTrue="1">
      <formula>IF($B$58="",TRUE)</formula>
    </cfRule>
  </conditionalFormatting>
  <conditionalFormatting sqref="B125">
    <cfRule type="expression" dxfId="265" priority="187" stopIfTrue="1">
      <formula>IF($B$59="",TRUE)</formula>
    </cfRule>
  </conditionalFormatting>
  <conditionalFormatting sqref="B126">
    <cfRule type="expression" dxfId="264" priority="186" stopIfTrue="1">
      <formula>IF($B$60="",TRUE)</formula>
    </cfRule>
  </conditionalFormatting>
  <conditionalFormatting sqref="B127">
    <cfRule type="expression" dxfId="263" priority="185" stopIfTrue="1">
      <formula>IF($B$61="",TRUE)</formula>
    </cfRule>
  </conditionalFormatting>
  <conditionalFormatting sqref="B128">
    <cfRule type="expression" dxfId="262" priority="184" stopIfTrue="1">
      <formula>IF($B$62="",TRUE)</formula>
    </cfRule>
  </conditionalFormatting>
  <conditionalFormatting sqref="B129">
    <cfRule type="expression" dxfId="261" priority="183" stopIfTrue="1">
      <formula>IF($B$63="",TRUE)</formula>
    </cfRule>
  </conditionalFormatting>
  <conditionalFormatting sqref="D12">
    <cfRule type="expression" dxfId="260" priority="306">
      <formula>IF($D$12="",TRUE)</formula>
    </cfRule>
  </conditionalFormatting>
  <conditionalFormatting sqref="D20">
    <cfRule type="expression" dxfId="259" priority="320" stopIfTrue="1">
      <formula>IF($D$20="",TRUE)</formula>
    </cfRule>
  </conditionalFormatting>
  <conditionalFormatting sqref="D24">
    <cfRule type="expression" dxfId="258" priority="315" stopIfTrue="1">
      <formula>IF($D$24="",TRUE)</formula>
    </cfRule>
  </conditionalFormatting>
  <conditionalFormatting sqref="D26:E26">
    <cfRule type="expression" dxfId="257" priority="323" stopIfTrue="1">
      <formula>IF($D$26="",TRUE)</formula>
    </cfRule>
  </conditionalFormatting>
  <conditionalFormatting sqref="D30:E30">
    <cfRule type="expression" dxfId="256" priority="317" stopIfTrue="1">
      <formula>IF($D$30="",TRUE)</formula>
    </cfRule>
    <cfRule type="expression" dxfId="255" priority="296" stopIfTrue="1">
      <formula>IF($B$30="",TRUE)</formula>
    </cfRule>
  </conditionalFormatting>
  <conditionalFormatting sqref="D31:E31">
    <cfRule type="expression" dxfId="254" priority="318" stopIfTrue="1">
      <formula>IF($D$31="",TRUE)</formula>
    </cfRule>
    <cfRule type="expression" dxfId="253" priority="295" stopIfTrue="1">
      <formula>IF($B$31="",TRUE)</formula>
    </cfRule>
  </conditionalFormatting>
  <conditionalFormatting sqref="D32:E32">
    <cfRule type="expression" dxfId="252" priority="308" stopIfTrue="1">
      <formula>IF($D$32="",TRUE)</formula>
    </cfRule>
    <cfRule type="expression" dxfId="251" priority="294" stopIfTrue="1">
      <formula>IF($B$32="",TRUE)</formula>
    </cfRule>
  </conditionalFormatting>
  <conditionalFormatting sqref="D33:E33">
    <cfRule type="expression" dxfId="250" priority="292" stopIfTrue="1">
      <formula>IF($B$33="",TRUE)</formula>
    </cfRule>
    <cfRule type="expression" dxfId="249" priority="293" stopIfTrue="1">
      <formula>IF($D$33="",TRUE)</formula>
    </cfRule>
  </conditionalFormatting>
  <conditionalFormatting sqref="D34:E34">
    <cfRule type="expression" dxfId="248" priority="290" stopIfTrue="1">
      <formula>IF($B$34="",TRUE)</formula>
    </cfRule>
    <cfRule type="expression" dxfId="247" priority="291" stopIfTrue="1">
      <formula>IF($D$34="",TRUE)</formula>
    </cfRule>
  </conditionalFormatting>
  <conditionalFormatting sqref="D35:E35">
    <cfRule type="expression" dxfId="246" priority="288" stopIfTrue="1">
      <formula>IF($B$35="",TRUE)</formula>
    </cfRule>
    <cfRule type="expression" dxfId="245" priority="289" stopIfTrue="1">
      <formula>IF($D$35="",TRUE)</formula>
    </cfRule>
  </conditionalFormatting>
  <conditionalFormatting sqref="D36:E36">
    <cfRule type="expression" dxfId="244" priority="286" stopIfTrue="1">
      <formula>IF($B$36="",TRUE)</formula>
    </cfRule>
    <cfRule type="expression" dxfId="243" priority="287" stopIfTrue="1">
      <formula>IF($D$36="",TRUE)</formula>
    </cfRule>
  </conditionalFormatting>
  <conditionalFormatting sqref="D37:E37">
    <cfRule type="expression" dxfId="242" priority="285" stopIfTrue="1">
      <formula>IF($D$37="",TRUE)</formula>
    </cfRule>
    <cfRule type="expression" dxfId="241" priority="284" stopIfTrue="1">
      <formula>IF($B$37="",TRUE)</formula>
    </cfRule>
  </conditionalFormatting>
  <conditionalFormatting sqref="D38:E38">
    <cfRule type="expression" dxfId="240" priority="282" stopIfTrue="1">
      <formula>IF($B$38="",TRUE)</formula>
    </cfRule>
    <cfRule type="expression" dxfId="239" priority="283" stopIfTrue="1">
      <formula>IF($D$38="",TRUE)</formula>
    </cfRule>
  </conditionalFormatting>
  <conditionalFormatting sqref="D39:E39">
    <cfRule type="expression" dxfId="238" priority="280" stopIfTrue="1">
      <formula>IF($B$39="",TRUE)</formula>
    </cfRule>
    <cfRule type="expression" dxfId="237" priority="281" stopIfTrue="1">
      <formula>IF($D$39="",TRUE)</formula>
    </cfRule>
  </conditionalFormatting>
  <conditionalFormatting sqref="D42:E42">
    <cfRule type="expression" dxfId="236" priority="269" stopIfTrue="1">
      <formula>IF($B$42="",TRUE)</formula>
    </cfRule>
    <cfRule type="expression" dxfId="235" priority="311" stopIfTrue="1">
      <formula>IF(AND(OR($D$30="Yes",$D$30=""),$D$42=""),1,0)</formula>
    </cfRule>
    <cfRule type="expression" dxfId="234" priority="312" stopIfTrue="1">
      <formula>IF($P$30="",TRUE)</formula>
    </cfRule>
  </conditionalFormatting>
  <conditionalFormatting sqref="D43:E43">
    <cfRule type="expression" dxfId="233" priority="266" stopIfTrue="1">
      <formula>IF($B$43="",TRUE)</formula>
    </cfRule>
    <cfRule type="expression" dxfId="232" priority="267" stopIfTrue="1">
      <formula>IF(AND(OR($D$31="Yes",$D$31=""),$D$43=""),1,0)</formula>
    </cfRule>
    <cfRule type="expression" dxfId="231" priority="268" stopIfTrue="1">
      <formula>IF($P$31="",TRUE)</formula>
    </cfRule>
  </conditionalFormatting>
  <conditionalFormatting sqref="D44:E44">
    <cfRule type="expression" dxfId="230" priority="264" stopIfTrue="1">
      <formula>IF(AND(OR($D$32="Yes",$D$32=""),$D$44=""),1,0)</formula>
    </cfRule>
    <cfRule type="expression" dxfId="229" priority="263" stopIfTrue="1">
      <formula>IF($B$44="",TRUE)</formula>
    </cfRule>
    <cfRule type="expression" dxfId="228" priority="265" stopIfTrue="1">
      <formula>IF($P$32="",TRUE)</formula>
    </cfRule>
  </conditionalFormatting>
  <conditionalFormatting sqref="D45:E45">
    <cfRule type="expression" dxfId="227" priority="212" stopIfTrue="1">
      <formula>IF($P$33="",TRUE)</formula>
    </cfRule>
    <cfRule type="expression" dxfId="226" priority="211" stopIfTrue="1">
      <formula>IF(AND(OR($D$33="Yes",$D$33=""),$D$45=""),1,0)</formula>
    </cfRule>
    <cfRule type="expression" dxfId="225" priority="210" stopIfTrue="1">
      <formula>IF($B$45="",TRUE)</formula>
    </cfRule>
  </conditionalFormatting>
  <conditionalFormatting sqref="D46:E46">
    <cfRule type="expression" dxfId="224" priority="209" stopIfTrue="1">
      <formula>IF($P$34="",TRUE)</formula>
    </cfRule>
    <cfRule type="expression" dxfId="223" priority="208" stopIfTrue="1">
      <formula>IF(AND(OR($D$34="Yes",$D$34=""),$D$46=""),1,0)</formula>
    </cfRule>
    <cfRule type="expression" dxfId="222" priority="207" stopIfTrue="1">
      <formula>IF($B$46="",TRUE)</formula>
    </cfRule>
  </conditionalFormatting>
  <conditionalFormatting sqref="D47:E47">
    <cfRule type="expression" dxfId="221" priority="205" stopIfTrue="1">
      <formula>IF(AND(OR($D$35="Yes",$D$35=""),$D$47=""),1,0)</formula>
    </cfRule>
    <cfRule type="expression" dxfId="220" priority="206" stopIfTrue="1">
      <formula>IF($P$35="",TRUE)</formula>
    </cfRule>
    <cfRule type="expression" dxfId="219" priority="204" stopIfTrue="1">
      <formula>IF($B$47="",TRUE)</formula>
    </cfRule>
  </conditionalFormatting>
  <conditionalFormatting sqref="D48:E48">
    <cfRule type="expression" dxfId="218" priority="202" stopIfTrue="1">
      <formula>IF(AND(OR($D$36="Yes",$D$36=""),$D$48=""),1,0)</formula>
    </cfRule>
    <cfRule type="expression" dxfId="217" priority="203" stopIfTrue="1">
      <formula>IF($P$36="",TRUE)</formula>
    </cfRule>
    <cfRule type="expression" dxfId="216" priority="201" stopIfTrue="1">
      <formula>IF($B$48="",TRUE)</formula>
    </cfRule>
  </conditionalFormatting>
  <conditionalFormatting sqref="D49:E49">
    <cfRule type="expression" dxfId="215" priority="198" stopIfTrue="1">
      <formula>IF($B$49="",TRUE)</formula>
    </cfRule>
    <cfRule type="expression" dxfId="214" priority="199" stopIfTrue="1">
      <formula>IF(AND(OR($D$37="Yes",$D$37=""),$D$49=""),1,0)</formula>
    </cfRule>
    <cfRule type="expression" dxfId="213" priority="200" stopIfTrue="1">
      <formula>IF($P$37="",TRUE)</formula>
    </cfRule>
  </conditionalFormatting>
  <conditionalFormatting sqref="D50:E50">
    <cfRule type="expression" dxfId="212" priority="196" stopIfTrue="1">
      <formula>IF(AND(OR($D$38="Yes",$D$38=""),$D$50=""),1,0)</formula>
    </cfRule>
    <cfRule type="expression" dxfId="211" priority="197" stopIfTrue="1">
      <formula>IF($P$38="",TRUE)</formula>
    </cfRule>
    <cfRule type="expression" dxfId="210" priority="195" stopIfTrue="1">
      <formula>IF($B$50="",TRUE)</formula>
    </cfRule>
  </conditionalFormatting>
  <conditionalFormatting sqref="D51:E51">
    <cfRule type="expression" dxfId="209" priority="194" stopIfTrue="1">
      <formula>IF($P$39="",TRUE)</formula>
    </cfRule>
    <cfRule type="expression" dxfId="208" priority="193" stopIfTrue="1">
      <formula>IF(AND(OR($D$39="Yes",$D$39=""),$D$51=""),1,0)</formula>
    </cfRule>
    <cfRule type="expression" dxfId="207" priority="192" stopIfTrue="1">
      <formula>IF($B$51="",TRUE)</formula>
    </cfRule>
  </conditionalFormatting>
  <conditionalFormatting sqref="D54:E54">
    <cfRule type="expression" dxfId="206" priority="122" stopIfTrue="1">
      <formula>IF($B$54="",TRUE)</formula>
    </cfRule>
    <cfRule type="expression" dxfId="205" priority="123" stopIfTrue="1">
      <formula>IF($P$54="",TRUE)</formula>
    </cfRule>
    <cfRule type="expression" dxfId="204" priority="124" stopIfTrue="1">
      <formula>IF(AND(OR($D$42="Yes",$D$42=""),$D$54=""),1,0)</formula>
    </cfRule>
  </conditionalFormatting>
  <conditionalFormatting sqref="D55:E55">
    <cfRule type="expression" dxfId="203" priority="181" stopIfTrue="1">
      <formula>IF(AND(OR($D$43="Yes",$D$43=""),$D$55=""),1,0)</formula>
    </cfRule>
    <cfRule type="expression" dxfId="202" priority="180" stopIfTrue="1">
      <formula>IF($P$55="",TRUE)</formula>
    </cfRule>
    <cfRule type="expression" dxfId="201" priority="179" stopIfTrue="1">
      <formula>IF($B$55="",TRUE)</formula>
    </cfRule>
  </conditionalFormatting>
  <conditionalFormatting sqref="D56:E56">
    <cfRule type="expression" dxfId="200" priority="177" stopIfTrue="1">
      <formula>IF($P$56="",TRUE)</formula>
    </cfRule>
    <cfRule type="expression" dxfId="199" priority="178" stopIfTrue="1">
      <formula>IF(AND(OR($D$44="Yes",$D$44=""),$D$56=""),1,0)</formula>
    </cfRule>
    <cfRule type="expression" dxfId="198" priority="125" stopIfTrue="1">
      <formula>IF($B$56="",TRUE)</formula>
    </cfRule>
  </conditionalFormatting>
  <conditionalFormatting sqref="D57:E57">
    <cfRule type="expression" dxfId="197" priority="175" stopIfTrue="1">
      <formula>IF($P$57="",TRUE)</formula>
    </cfRule>
    <cfRule type="expression" dxfId="196" priority="174" stopIfTrue="1">
      <formula>IF($B$57="",TRUE)</formula>
    </cfRule>
    <cfRule type="expression" dxfId="195" priority="176" stopIfTrue="1">
      <formula>IF(AND(OR($D$45="Yes",$D$45=""),$D$57=""),1,0)</formula>
    </cfRule>
  </conditionalFormatting>
  <conditionalFormatting sqref="D58:E58">
    <cfRule type="expression" dxfId="194" priority="171" stopIfTrue="1">
      <formula>IF($B$58="",TRUE)</formula>
    </cfRule>
    <cfRule type="expression" dxfId="193" priority="173" stopIfTrue="1">
      <formula>IF(AND(OR($D$46="Yes",$D$46=""),$D$58=""),1,0)</formula>
    </cfRule>
    <cfRule type="expression" dxfId="192" priority="172" stopIfTrue="1">
      <formula>IF($P$58="",TRUE)</formula>
    </cfRule>
  </conditionalFormatting>
  <conditionalFormatting sqref="D59:E59">
    <cfRule type="expression" dxfId="191" priority="168" stopIfTrue="1">
      <formula>IF($B$59="",TRUE)</formula>
    </cfRule>
    <cfRule type="expression" dxfId="190" priority="169" stopIfTrue="1">
      <formula>IF($P$59="",TRUE)</formula>
    </cfRule>
    <cfRule type="expression" dxfId="189" priority="170" stopIfTrue="1">
      <formula>IF(AND(OR($D$47="Yes",$D$47=""),$D$59=""),1,0)</formula>
    </cfRule>
  </conditionalFormatting>
  <conditionalFormatting sqref="D60:E60">
    <cfRule type="expression" dxfId="188" priority="165" stopIfTrue="1">
      <formula>IF($B$60="",TRUE)</formula>
    </cfRule>
    <cfRule type="expression" dxfId="187" priority="167" stopIfTrue="1">
      <formula>IF(AND(OR($D$48="Yes",$D$48=""),$D$60=""),1,0)</formula>
    </cfRule>
    <cfRule type="expression" dxfId="186" priority="166" stopIfTrue="1">
      <formula>IF($P$60="",TRUE)</formula>
    </cfRule>
  </conditionalFormatting>
  <conditionalFormatting sqref="D61:E61">
    <cfRule type="expression" dxfId="185" priority="163" stopIfTrue="1">
      <formula>IF($P$61="",TRUE)</formula>
    </cfRule>
    <cfRule type="expression" dxfId="184" priority="162" stopIfTrue="1">
      <formula>IF($B$61="",TRUE)</formula>
    </cfRule>
    <cfRule type="expression" dxfId="183" priority="164" stopIfTrue="1">
      <formula>IF(AND(OR($D$49="Yes",$D$49=""),$D$61=""),1,0)</formula>
    </cfRule>
  </conditionalFormatting>
  <conditionalFormatting sqref="D62:E62">
    <cfRule type="expression" dxfId="182" priority="159" stopIfTrue="1">
      <formula>IF($B$62="",TRUE)</formula>
    </cfRule>
    <cfRule type="expression" dxfId="181" priority="160" stopIfTrue="1">
      <formula>IF($P$62="",TRUE)</formula>
    </cfRule>
    <cfRule type="expression" dxfId="180" priority="161" stopIfTrue="1">
      <formula>IF(AND(OR($D$50="Yes",$D$50=""),$D$62=""),1,0)</formula>
    </cfRule>
  </conditionalFormatting>
  <conditionalFormatting sqref="D63:E63">
    <cfRule type="expression" dxfId="179" priority="156" stopIfTrue="1">
      <formula>IF($B$63="",TRUE)</formula>
    </cfRule>
    <cfRule type="expression" dxfId="178" priority="157" stopIfTrue="1">
      <formula>IF($P$63="",TRUE)</formula>
    </cfRule>
    <cfRule type="expression" dxfId="177" priority="158" stopIfTrue="1">
      <formula>IF(AND(OR($D$51="Yes",$D$51=""),$D$63=""),1,0)</formula>
    </cfRule>
  </conditionalFormatting>
  <conditionalFormatting sqref="D66:E66">
    <cfRule type="expression" dxfId="176" priority="92" stopIfTrue="1">
      <formula>IF($B$54="",TRUE)</formula>
    </cfRule>
    <cfRule type="expression" dxfId="175" priority="93" stopIfTrue="1">
      <formula>IF($P$54="",TRUE)</formula>
    </cfRule>
    <cfRule type="expression" dxfId="174" priority="94" stopIfTrue="1">
      <formula>IF(AND(OR($D$42="Yes",$D$42=""),$D$66=""),1,0)</formula>
    </cfRule>
  </conditionalFormatting>
  <conditionalFormatting sqref="D67:E67">
    <cfRule type="expression" dxfId="173" priority="121" stopIfTrue="1">
      <formula>IF(AND(OR($D$43="Yes",$D$43=""),$D$67=""),1,0)</formula>
    </cfRule>
    <cfRule type="expression" dxfId="172" priority="120" stopIfTrue="1">
      <formula>IF($P$55="",TRUE)</formula>
    </cfRule>
    <cfRule type="expression" dxfId="171" priority="119" stopIfTrue="1">
      <formula>IF($B$55="",TRUE)</formula>
    </cfRule>
  </conditionalFormatting>
  <conditionalFormatting sqref="D68:E68">
    <cfRule type="expression" dxfId="170" priority="95" stopIfTrue="1">
      <formula>IF($B$56="",TRUE)</formula>
    </cfRule>
    <cfRule type="expression" dxfId="169" priority="118" stopIfTrue="1">
      <formula>IF(AND(OR($D$44="Yes",$D$44=""),$D$68=""),1,0)</formula>
    </cfRule>
    <cfRule type="expression" dxfId="168" priority="117" stopIfTrue="1">
      <formula>IF($P$56="",TRUE)</formula>
    </cfRule>
  </conditionalFormatting>
  <conditionalFormatting sqref="D69:E69">
    <cfRule type="expression" dxfId="167" priority="114" stopIfTrue="1">
      <formula>IF($B$57="",TRUE)</formula>
    </cfRule>
    <cfRule type="expression" dxfId="166" priority="115" stopIfTrue="1">
      <formula>IF($P$57="",TRUE)</formula>
    </cfRule>
    <cfRule type="expression" dxfId="165" priority="116" stopIfTrue="1">
      <formula>IF(AND(OR($D$45="Yes",$D$45=""),$D$69=""),1,0)</formula>
    </cfRule>
  </conditionalFormatting>
  <conditionalFormatting sqref="D70:E70">
    <cfRule type="expression" dxfId="164" priority="113" stopIfTrue="1">
      <formula>IF(AND(OR($D$46="Yes",$D$46=""),$D$70=""),1,0)</formula>
    </cfRule>
    <cfRule type="expression" dxfId="163" priority="111" stopIfTrue="1">
      <formula>IF($B$58="",TRUE)</formula>
    </cfRule>
    <cfRule type="expression" dxfId="162" priority="112" stopIfTrue="1">
      <formula>IF($P$58="",TRUE)</formula>
    </cfRule>
  </conditionalFormatting>
  <conditionalFormatting sqref="D71:E71">
    <cfRule type="expression" dxfId="161" priority="109" stopIfTrue="1">
      <formula>IF($P$59="",TRUE)</formula>
    </cfRule>
    <cfRule type="expression" dxfId="160" priority="110" stopIfTrue="1">
      <formula>IF(AND(OR($D$47="Yes",$D$47=""),$D$71=""),1,0)</formula>
    </cfRule>
    <cfRule type="expression" dxfId="159" priority="108" stopIfTrue="1">
      <formula>IF($B$59="",TRUE)</formula>
    </cfRule>
  </conditionalFormatting>
  <conditionalFormatting sqref="D72:E72">
    <cfRule type="expression" dxfId="158" priority="105" stopIfTrue="1">
      <formula>IF($B$60="",TRUE)</formula>
    </cfRule>
    <cfRule type="expression" dxfId="157" priority="107" stopIfTrue="1">
      <formula>IF(AND(OR($D$48="Yes",$D$48=""),$D$72=""),1,0)</formula>
    </cfRule>
    <cfRule type="expression" dxfId="156" priority="106" stopIfTrue="1">
      <formula>IF($P$60="",TRUE)</formula>
    </cfRule>
  </conditionalFormatting>
  <conditionalFormatting sqref="D73:E73">
    <cfRule type="expression" dxfId="155" priority="104" stopIfTrue="1">
      <formula>IF(AND(OR($D$49="Yes",$D$49=""),$D$73=""),1,0)</formula>
    </cfRule>
    <cfRule type="expression" dxfId="154" priority="102" stopIfTrue="1">
      <formula>IF($B$61="",TRUE)</formula>
    </cfRule>
    <cfRule type="expression" dxfId="153" priority="103" stopIfTrue="1">
      <formula>IF($P$61="",TRUE)</formula>
    </cfRule>
  </conditionalFormatting>
  <conditionalFormatting sqref="D74:E74">
    <cfRule type="expression" dxfId="152" priority="99" stopIfTrue="1">
      <formula>IF($B$62="",TRUE)</formula>
    </cfRule>
    <cfRule type="expression" dxfId="151" priority="100" stopIfTrue="1">
      <formula>IF($P$62="",TRUE)</formula>
    </cfRule>
    <cfRule type="expression" dxfId="150" priority="101" stopIfTrue="1">
      <formula>IF(AND(OR($D$50="Yes",$D$50=""),$D$74=""),1,0)</formula>
    </cfRule>
  </conditionalFormatting>
  <conditionalFormatting sqref="D75:E75">
    <cfRule type="expression" dxfId="149" priority="98" stopIfTrue="1">
      <formula>IF(AND(OR($D$51="Yes",$D$51=""),$D$75=""),1,0)</formula>
    </cfRule>
    <cfRule type="expression" dxfId="148" priority="97" stopIfTrue="1">
      <formula>IF($P$63="",TRUE)</formula>
    </cfRule>
    <cfRule type="expression" dxfId="147" priority="96" stopIfTrue="1">
      <formula>IF($B$63="",TRUE)</formula>
    </cfRule>
  </conditionalFormatting>
  <conditionalFormatting sqref="D78:E78">
    <cfRule type="expression" dxfId="146" priority="62" stopIfTrue="1">
      <formula>IF($B$54="",TRUE)</formula>
    </cfRule>
    <cfRule type="expression" dxfId="145" priority="63" stopIfTrue="1">
      <formula>IF($P$54="",TRUE)</formula>
    </cfRule>
    <cfRule type="expression" dxfId="144" priority="64" stopIfTrue="1">
      <formula>IF(AND(OR($D$42="Yes",$D$42=""),$D$78=""),1,0)</formula>
    </cfRule>
  </conditionalFormatting>
  <conditionalFormatting sqref="D79:E79">
    <cfRule type="expression" dxfId="143" priority="91" stopIfTrue="1">
      <formula>IF(AND(OR($D$43="Yes",$D$43=""),$D$79=""),1,0)</formula>
    </cfRule>
    <cfRule type="expression" dxfId="142" priority="90" stopIfTrue="1">
      <formula>IF($P$55="",TRUE)</formula>
    </cfRule>
    <cfRule type="expression" dxfId="141" priority="89" stopIfTrue="1">
      <formula>IF($B$55="",TRUE)</formula>
    </cfRule>
  </conditionalFormatting>
  <conditionalFormatting sqref="D80:E80">
    <cfRule type="expression" dxfId="140" priority="87" stopIfTrue="1">
      <formula>IF($P$56="",TRUE)</formula>
    </cfRule>
    <cfRule type="expression" dxfId="139" priority="65" stopIfTrue="1">
      <formula>IF($B$56="",TRUE)</formula>
    </cfRule>
    <cfRule type="expression" dxfId="138" priority="88" stopIfTrue="1">
      <formula>IF(AND(OR($D$44="Yes",$D$44=""),$D$80=""),1,0)</formula>
    </cfRule>
  </conditionalFormatting>
  <conditionalFormatting sqref="D81:E81">
    <cfRule type="expression" dxfId="137" priority="86" stopIfTrue="1">
      <formula>IF(AND(OR($D$45="Yes",$D$45=""),$D$81=""),1,0)</formula>
    </cfRule>
    <cfRule type="expression" dxfId="136" priority="85" stopIfTrue="1">
      <formula>IF($P$57="",TRUE)</formula>
    </cfRule>
    <cfRule type="expression" dxfId="135" priority="84" stopIfTrue="1">
      <formula>IF($B$57="",TRUE)</formula>
    </cfRule>
  </conditionalFormatting>
  <conditionalFormatting sqref="D82:E82">
    <cfRule type="expression" dxfId="134" priority="83" stopIfTrue="1">
      <formula>IF(AND(OR($D$46="Yes",$D$46=""),$D$82=""),1,0)</formula>
    </cfRule>
    <cfRule type="expression" dxfId="133" priority="81" stopIfTrue="1">
      <formula>IF($B$58="",TRUE)</formula>
    </cfRule>
    <cfRule type="expression" dxfId="132" priority="82" stopIfTrue="1">
      <formula>IF($P$58="",TRUE)</formula>
    </cfRule>
  </conditionalFormatting>
  <conditionalFormatting sqref="D83:E83">
    <cfRule type="expression" dxfId="131" priority="80" stopIfTrue="1">
      <formula>IF(AND(OR($D$47="Yes",$D$47=""),$D$83=""),1,0)</formula>
    </cfRule>
    <cfRule type="expression" dxfId="130" priority="79" stopIfTrue="1">
      <formula>IF($P$59="",TRUE)</formula>
    </cfRule>
    <cfRule type="expression" dxfId="129" priority="78" stopIfTrue="1">
      <formula>IF($B$59="",TRUE)</formula>
    </cfRule>
  </conditionalFormatting>
  <conditionalFormatting sqref="D84:E84">
    <cfRule type="expression" dxfId="128" priority="77" stopIfTrue="1">
      <formula>IF(AND(OR($D$48="Yes",$D$48=""),$D$84=""),1,0)</formula>
    </cfRule>
    <cfRule type="expression" dxfId="127" priority="76" stopIfTrue="1">
      <formula>IF($P$60="",TRUE)</formula>
    </cfRule>
    <cfRule type="expression" dxfId="126" priority="75" stopIfTrue="1">
      <formula>IF($B$60="",TRUE)</formula>
    </cfRule>
  </conditionalFormatting>
  <conditionalFormatting sqref="D85:E85">
    <cfRule type="expression" dxfId="125" priority="74" stopIfTrue="1">
      <formula>IF(AND(OR($D$49="Yes",$D$49=""),$D$85=""),1,0)</formula>
    </cfRule>
    <cfRule type="expression" dxfId="124" priority="73" stopIfTrue="1">
      <formula>IF($P$61="",TRUE)</formula>
    </cfRule>
    <cfRule type="expression" dxfId="123" priority="72" stopIfTrue="1">
      <formula>IF($B$61="",TRUE)</formula>
    </cfRule>
  </conditionalFormatting>
  <conditionalFormatting sqref="D86:E86">
    <cfRule type="expression" dxfId="122" priority="71" stopIfTrue="1">
      <formula>IF(AND(OR($D$50="Yes",$D$50=""),$D$86=""),1,0)</formula>
    </cfRule>
    <cfRule type="expression" dxfId="121" priority="70" stopIfTrue="1">
      <formula>IF($P$62="",TRUE)</formula>
    </cfRule>
    <cfRule type="expression" dxfId="120" priority="69" stopIfTrue="1">
      <formula>IF($B$62="",TRUE)</formula>
    </cfRule>
  </conditionalFormatting>
  <conditionalFormatting sqref="D87:E87">
    <cfRule type="expression" dxfId="119" priority="68" stopIfTrue="1">
      <formula>IF(AND(OR($D$51="Yes",$D$51=""),$D$87=""),1,0)</formula>
    </cfRule>
    <cfRule type="expression" dxfId="118" priority="67" stopIfTrue="1">
      <formula>IF($P$63="",TRUE)</formula>
    </cfRule>
    <cfRule type="expression" dxfId="117" priority="66" stopIfTrue="1">
      <formula>IF($B$63="",TRUE)</formula>
    </cfRule>
  </conditionalFormatting>
  <conditionalFormatting sqref="D90:E90">
    <cfRule type="expression" dxfId="116" priority="32" stopIfTrue="1">
      <formula>IF($B$54="",TRUE)</formula>
    </cfRule>
    <cfRule type="expression" dxfId="115" priority="34" stopIfTrue="1">
      <formula>IF(AND(OR($D$42="Yes",$D$42=""),$D$90=""),1,0)</formula>
    </cfRule>
    <cfRule type="expression" dxfId="114" priority="33" stopIfTrue="1">
      <formula>IF($P$54="",TRUE)</formula>
    </cfRule>
  </conditionalFormatting>
  <conditionalFormatting sqref="D91:E91">
    <cfRule type="expression" dxfId="113" priority="61" stopIfTrue="1">
      <formula>IF(AND(OR($D$43="Yes",$D$43=""),$D$91=""),1,0)</formula>
    </cfRule>
    <cfRule type="expression" dxfId="112" priority="60" stopIfTrue="1">
      <formula>IF($P$55="",TRUE)</formula>
    </cfRule>
    <cfRule type="expression" dxfId="111" priority="59" stopIfTrue="1">
      <formula>IF($B$55="",TRUE)</formula>
    </cfRule>
  </conditionalFormatting>
  <conditionalFormatting sqref="D92:E92">
    <cfRule type="expression" dxfId="110" priority="35" stopIfTrue="1">
      <formula>IF($B$56="",TRUE)</formula>
    </cfRule>
    <cfRule type="expression" dxfId="109" priority="58" stopIfTrue="1">
      <formula>IF(AND(OR($D$44="Yes",$D$44=""),$D$92=""),1,0)</formula>
    </cfRule>
    <cfRule type="expression" dxfId="108" priority="57" stopIfTrue="1">
      <formula>IF($P$56="",TRUE)</formula>
    </cfRule>
  </conditionalFormatting>
  <conditionalFormatting sqref="D93:E93">
    <cfRule type="expression" dxfId="107" priority="56" stopIfTrue="1">
      <formula>IF(AND(OR($D$45="Yes",$D$45=""),$D$93=""),1,0)</formula>
    </cfRule>
    <cfRule type="expression" dxfId="106" priority="55" stopIfTrue="1">
      <formula>IF($P$57="",TRUE)</formula>
    </cfRule>
    <cfRule type="expression" dxfId="105" priority="54" stopIfTrue="1">
      <formula>IF($B$57="",TRUE)</formula>
    </cfRule>
  </conditionalFormatting>
  <conditionalFormatting sqref="D94:E94">
    <cfRule type="expression" dxfId="104" priority="51" stopIfTrue="1">
      <formula>IF($B$58="",TRUE)</formula>
    </cfRule>
    <cfRule type="expression" dxfId="103" priority="53" stopIfTrue="1">
      <formula>IF(AND(OR($D$46="Yes",$D$46=""),$D$94=""),1,0)</formula>
    </cfRule>
    <cfRule type="expression" dxfId="102" priority="52" stopIfTrue="1">
      <formula>IF($P$58="",TRUE)</formula>
    </cfRule>
  </conditionalFormatting>
  <conditionalFormatting sqref="D95:E95">
    <cfRule type="expression" dxfId="101" priority="50" stopIfTrue="1">
      <formula>IF(AND(OR($D$47="Yes",$D$47=""),$D$95=""),1,0)</formula>
    </cfRule>
    <cfRule type="expression" dxfId="100" priority="49" stopIfTrue="1">
      <formula>IF($P$59="",TRUE)</formula>
    </cfRule>
    <cfRule type="expression" dxfId="99" priority="48" stopIfTrue="1">
      <formula>IF($B$59="",TRUE)</formula>
    </cfRule>
  </conditionalFormatting>
  <conditionalFormatting sqref="D96:E96">
    <cfRule type="expression" dxfId="98" priority="46" stopIfTrue="1">
      <formula>IF($P$60="",TRUE)</formula>
    </cfRule>
    <cfRule type="expression" dxfId="97" priority="45" stopIfTrue="1">
      <formula>IF($B$60="",TRUE)</formula>
    </cfRule>
    <cfRule type="expression" dxfId="96" priority="47" stopIfTrue="1">
      <formula>IF(AND(OR($D$48="Yes",$D$48=""),$D$96=""),1,0)</formula>
    </cfRule>
  </conditionalFormatting>
  <conditionalFormatting sqref="D97:E97">
    <cfRule type="expression" dxfId="95" priority="42" stopIfTrue="1">
      <formula>IF($B$61="",TRUE)</formula>
    </cfRule>
    <cfRule type="expression" dxfId="94" priority="44" stopIfTrue="1">
      <formula>IF(AND(OR($D$49="Yes",$D$49=""),$D$97=""),1,0)</formula>
    </cfRule>
    <cfRule type="expression" dxfId="93" priority="43" stopIfTrue="1">
      <formula>IF($P$61="",TRUE)</formula>
    </cfRule>
  </conditionalFormatting>
  <conditionalFormatting sqref="D98:E98">
    <cfRule type="expression" dxfId="92" priority="41" stopIfTrue="1">
      <formula>IF(AND(OR($D$50="Yes",$D$50=""),$D$98=""),1,0)</formula>
    </cfRule>
    <cfRule type="expression" dxfId="91" priority="40" stopIfTrue="1">
      <formula>IF($P$62="",TRUE)</formula>
    </cfRule>
    <cfRule type="expression" dxfId="90" priority="39" stopIfTrue="1">
      <formula>IF($B$62="",TRUE)</formula>
    </cfRule>
  </conditionalFormatting>
  <conditionalFormatting sqref="D99:E99">
    <cfRule type="expression" dxfId="89" priority="38" stopIfTrue="1">
      <formula>IF(AND(OR($D$51="Yes",$D$51=""),$D$99=""),1,0)</formula>
    </cfRule>
    <cfRule type="expression" dxfId="88" priority="37" stopIfTrue="1">
      <formula>IF($P$63="",TRUE)</formula>
    </cfRule>
    <cfRule type="expression" dxfId="87" priority="36" stopIfTrue="1">
      <formula>IF($B$63="",TRUE)</formula>
    </cfRule>
  </conditionalFormatting>
  <conditionalFormatting sqref="D102:E102">
    <cfRule type="expression" dxfId="86" priority="4" stopIfTrue="1">
      <formula>IF(AND(OR($D$42="Yes",$D$42=""),$D$102=""),1,0)</formula>
    </cfRule>
    <cfRule type="expression" dxfId="85" priority="2" stopIfTrue="1">
      <formula>IF($B$54="",TRUE)</formula>
    </cfRule>
    <cfRule type="expression" dxfId="84" priority="3" stopIfTrue="1">
      <formula>IF($P$54="",TRUE)</formula>
    </cfRule>
  </conditionalFormatting>
  <conditionalFormatting sqref="D103:E103">
    <cfRule type="expression" dxfId="83" priority="31" stopIfTrue="1">
      <formula>IF(AND(OR($D$43="Yes",$D$43=""),$D$103=""),1,0)</formula>
    </cfRule>
    <cfRule type="expression" dxfId="82" priority="29" stopIfTrue="1">
      <formula>IF($B$55="",TRUE)</formula>
    </cfRule>
    <cfRule type="expression" dxfId="81" priority="30" stopIfTrue="1">
      <formula>IF($P$55="",TRUE)</formula>
    </cfRule>
  </conditionalFormatting>
  <conditionalFormatting sqref="D104:E104">
    <cfRule type="expression" dxfId="80" priority="5" stopIfTrue="1">
      <formula>IF($B$56="",TRUE)</formula>
    </cfRule>
    <cfRule type="expression" dxfId="79" priority="27" stopIfTrue="1">
      <formula>IF($P$56="",TRUE)</formula>
    </cfRule>
    <cfRule type="expression" dxfId="78" priority="28" stopIfTrue="1">
      <formula>IF(AND(OR($D$44="Yes",$D$44=""),$D$104=""),1,0)</formula>
    </cfRule>
  </conditionalFormatting>
  <conditionalFormatting sqref="D105:E105">
    <cfRule type="expression" dxfId="77" priority="25" stopIfTrue="1">
      <formula>IF($P$57="",TRUE)</formula>
    </cfRule>
    <cfRule type="expression" dxfId="76" priority="24" stopIfTrue="1">
      <formula>IF($B$57="",TRUE)</formula>
    </cfRule>
    <cfRule type="expression" dxfId="75" priority="26" stopIfTrue="1">
      <formula>IF(AND(OR($D$45="Yes",$D$45=""),$D$105=""),1,0)</formula>
    </cfRule>
  </conditionalFormatting>
  <conditionalFormatting sqref="D106:E106">
    <cfRule type="expression" dxfId="74" priority="21" stopIfTrue="1">
      <formula>IF($B$58="",TRUE)</formula>
    </cfRule>
    <cfRule type="expression" dxfId="73" priority="23" stopIfTrue="1">
      <formula>IF(AND(OR($D$46="Yes",$D$46=""),$D$106=""),1,0)</formula>
    </cfRule>
    <cfRule type="expression" dxfId="72" priority="22" stopIfTrue="1">
      <formula>IF($P$58="",TRUE)</formula>
    </cfRule>
  </conditionalFormatting>
  <conditionalFormatting sqref="D107:E107">
    <cfRule type="expression" dxfId="71" priority="20" stopIfTrue="1">
      <formula>IF(AND(OR($D$47="Yes",$D$47=""),$D$107=""),1,0)</formula>
    </cfRule>
    <cfRule type="expression" dxfId="70" priority="18" stopIfTrue="1">
      <formula>IF($B$59="",TRUE)</formula>
    </cfRule>
    <cfRule type="expression" dxfId="69" priority="19" stopIfTrue="1">
      <formula>IF($P$59="",TRUE)</formula>
    </cfRule>
  </conditionalFormatting>
  <conditionalFormatting sqref="D108:E108">
    <cfRule type="expression" dxfId="68" priority="15" stopIfTrue="1">
      <formula>IF($B$60="",TRUE)</formula>
    </cfRule>
    <cfRule type="expression" dxfId="67" priority="16" stopIfTrue="1">
      <formula>IF($P$60="",TRUE)</formula>
    </cfRule>
    <cfRule type="expression" dxfId="66" priority="17" stopIfTrue="1">
      <formula>IF(AND(OR($D$48="Yes",$D$48=""),$D$108=""),1,0)</formula>
    </cfRule>
  </conditionalFormatting>
  <conditionalFormatting sqref="D109:E109">
    <cfRule type="expression" dxfId="65" priority="12" stopIfTrue="1">
      <formula>IF($B$61="",TRUE)</formula>
    </cfRule>
    <cfRule type="expression" dxfId="64" priority="13" stopIfTrue="1">
      <formula>IF($P$61="",TRUE)</formula>
    </cfRule>
    <cfRule type="expression" dxfId="63" priority="14" stopIfTrue="1">
      <formula>IF(AND(OR($D$49="Yes",$D$49=""),$D$109=""),1,0)</formula>
    </cfRule>
  </conditionalFormatting>
  <conditionalFormatting sqref="D110:E110">
    <cfRule type="expression" dxfId="62" priority="10" stopIfTrue="1">
      <formula>IF($P$62="",TRUE)</formula>
    </cfRule>
    <cfRule type="expression" dxfId="61" priority="9" stopIfTrue="1">
      <formula>IF($B$62="",TRUE)</formula>
    </cfRule>
    <cfRule type="expression" dxfId="60" priority="11" stopIfTrue="1">
      <formula>IF(AND(OR($D$50="Yes",$D$50=""),$D$110=""),1,0)</formula>
    </cfRule>
  </conditionalFormatting>
  <conditionalFormatting sqref="D111:E111">
    <cfRule type="expression" dxfId="59" priority="8" stopIfTrue="1">
      <formula>IF(AND(OR($D$51="Yes",$D$51=""),$D$111=""),1,0)</formula>
    </cfRule>
    <cfRule type="expression" dxfId="58" priority="7" stopIfTrue="1">
      <formula>IF($P$63="",TRUE)</formula>
    </cfRule>
    <cfRule type="expression" dxfId="57" priority="6" stopIfTrue="1">
      <formula>IF($B$63="",TRUE)</formula>
    </cfRule>
  </conditionalFormatting>
  <conditionalFormatting sqref="D115:E115 D117:E117 D131:E131 D133:E133 D135:E135 D137:E137">
    <cfRule type="expression" dxfId="56" priority="310" stopIfTrue="1">
      <formula>IF(D115="",TRUE)</formula>
    </cfRule>
    <cfRule type="expression" dxfId="55" priority="309" stopIfTrue="1">
      <formula>AND(OR($D$30="No",$D$30="Unknown",$D$30="Not applicable for this declaration"),OR($D$31="No",$D$31="Unknown",$D$31="Not applicable for this declaration"))</formula>
    </cfRule>
  </conditionalFormatting>
  <conditionalFormatting sqref="D120:E120">
    <cfRule type="expression" dxfId="54" priority="153" stopIfTrue="1">
      <formula>IF($B$54="",TRUE)</formula>
    </cfRule>
    <cfRule type="expression" dxfId="53" priority="154" stopIfTrue="1">
      <formula>IF($P$54="",TRUE)</formula>
    </cfRule>
    <cfRule type="expression" dxfId="52" priority="155" stopIfTrue="1">
      <formula>IF(AND(OR($D$42="Yes",$D$42=""),$D$120=""),1,0)</formula>
    </cfRule>
  </conditionalFormatting>
  <conditionalFormatting sqref="D121:E121">
    <cfRule type="expression" dxfId="51" priority="150" stopIfTrue="1">
      <formula>IF($B$55="",TRUE)</formula>
    </cfRule>
    <cfRule type="expression" dxfId="50" priority="151" stopIfTrue="1">
      <formula>IF($P$55="",TRUE)</formula>
    </cfRule>
    <cfRule type="expression" dxfId="49" priority="152" stopIfTrue="1">
      <formula>IF(AND(OR($D$43="Yes",$D$43=""),$D$121=""),1,0)</formula>
    </cfRule>
  </conditionalFormatting>
  <conditionalFormatting sqref="D122:E122">
    <cfRule type="expression" dxfId="48" priority="149" stopIfTrue="1">
      <formula>IF(AND(OR($D$44="Yes",$D$44=""),$D$122=""),1,0)</formula>
    </cfRule>
    <cfRule type="expression" dxfId="47" priority="147" stopIfTrue="1">
      <formula>IF($B$56="",TRUE)</formula>
    </cfRule>
    <cfRule type="expression" dxfId="46" priority="148" stopIfTrue="1">
      <formula>IF($P$56="",TRUE)</formula>
    </cfRule>
  </conditionalFormatting>
  <conditionalFormatting sqref="D123:E123">
    <cfRule type="expression" dxfId="45" priority="146" stopIfTrue="1">
      <formula>IF(AND(OR($D$45="Yes",$D$45=""),$D$123=""),1,0)</formula>
    </cfRule>
    <cfRule type="expression" dxfId="44" priority="145" stopIfTrue="1">
      <formula>IF($P$57="",TRUE)</formula>
    </cfRule>
    <cfRule type="expression" dxfId="43" priority="144" stopIfTrue="1">
      <formula>IF($B$57="",TRUE)</formula>
    </cfRule>
  </conditionalFormatting>
  <conditionalFormatting sqref="D124:E124">
    <cfRule type="expression" dxfId="42" priority="141" stopIfTrue="1">
      <formula>IF($B$58="",TRUE)</formula>
    </cfRule>
    <cfRule type="expression" dxfId="41" priority="143" stopIfTrue="1">
      <formula>IF(AND(OR($D$46="Yes",$D$46=""),$D$124=""),1,0)</formula>
    </cfRule>
    <cfRule type="expression" dxfId="40" priority="142" stopIfTrue="1">
      <formula>IF($P$58="",TRUE)</formula>
    </cfRule>
  </conditionalFormatting>
  <conditionalFormatting sqref="D125:E125">
    <cfRule type="expression" dxfId="39" priority="138" stopIfTrue="1">
      <formula>IF($B$59="",TRUE)</formula>
    </cfRule>
    <cfRule type="expression" dxfId="38" priority="139" stopIfTrue="1">
      <formula>IF($P$59="",TRUE)</formula>
    </cfRule>
    <cfRule type="expression" dxfId="37" priority="140" stopIfTrue="1">
      <formula>IF(AND(OR($D$47="Yes",$D$47=""),$D$125=""),1,0)</formula>
    </cfRule>
  </conditionalFormatting>
  <conditionalFormatting sqref="D126:E126">
    <cfRule type="expression" dxfId="36" priority="137" stopIfTrue="1">
      <formula>IF(AND(OR($D$48="Yes",$D$48=""),$D$126=""),1,0)</formula>
    </cfRule>
    <cfRule type="expression" dxfId="35" priority="135" stopIfTrue="1">
      <formula>IF($B$60="",TRUE)</formula>
    </cfRule>
    <cfRule type="expression" dxfId="34" priority="136" stopIfTrue="1">
      <formula>IF($P$60="",TRUE)</formula>
    </cfRule>
  </conditionalFormatting>
  <conditionalFormatting sqref="D127:E127">
    <cfRule type="expression" dxfId="33" priority="133" stopIfTrue="1">
      <formula>IF($P$61="",TRUE)</formula>
    </cfRule>
    <cfRule type="expression" dxfId="32" priority="132" stopIfTrue="1">
      <formula>IF($B$61="",TRUE)</formula>
    </cfRule>
    <cfRule type="expression" dxfId="31" priority="134" stopIfTrue="1">
      <formula>IF(AND(OR($D$49="Yes",$D$49=""),$D$127=""),1,0)</formula>
    </cfRule>
  </conditionalFormatting>
  <conditionalFormatting sqref="D128:E128">
    <cfRule type="expression" dxfId="30" priority="131" stopIfTrue="1">
      <formula>IF(AND(OR($D$50="Yes",$D$50=""),$D$128=""),1,0)</formula>
    </cfRule>
    <cfRule type="expression" dxfId="29" priority="129" stopIfTrue="1">
      <formula>IF($B$62="",TRUE)</formula>
    </cfRule>
    <cfRule type="expression" dxfId="28" priority="130" stopIfTrue="1">
      <formula>IF($P$62="",TRUE)</formula>
    </cfRule>
  </conditionalFormatting>
  <conditionalFormatting sqref="D129:E129">
    <cfRule type="expression" dxfId="27" priority="128" stopIfTrue="1">
      <formula>IF(AND(OR($D$51="Yes",$D$51=""),$D$129=""),1,0)</formula>
    </cfRule>
    <cfRule type="expression" dxfId="26" priority="127" stopIfTrue="1">
      <formula>IF($P$63="",TRUE)</formula>
    </cfRule>
    <cfRule type="expression" dxfId="25" priority="126" stopIfTrue="1">
      <formula>IF($B$63="",TRUE)</formula>
    </cfRule>
  </conditionalFormatting>
  <conditionalFormatting sqref="D9:G9">
    <cfRule type="expression" dxfId="24" priority="462" stopIfTrue="1">
      <formula>IF($D$9="",TRUE)</formula>
    </cfRule>
  </conditionalFormatting>
  <conditionalFormatting sqref="D8:J8">
    <cfRule type="expression" dxfId="23" priority="461" stopIfTrue="1">
      <formula>IF($D$8="",TRUE)</formula>
    </cfRule>
  </conditionalFormatting>
  <conditionalFormatting sqref="D10:J10">
    <cfRule type="expression" dxfId="22" priority="476" stopIfTrue="1">
      <formula>IF(AND($D$10="",$D$9=$R$9),TRUE)</formula>
    </cfRule>
    <cfRule type="expression" dxfId="21" priority="366" stopIfTrue="1">
      <formula>IF($D$9=$Q$9,TRUE)</formula>
    </cfRule>
  </conditionalFormatting>
  <conditionalFormatting sqref="D19:J19">
    <cfRule type="expression" dxfId="20" priority="319" stopIfTrue="1">
      <formula>IF($D$19="",TRUE)</formula>
    </cfRule>
  </conditionalFormatting>
  <conditionalFormatting sqref="D21:J21">
    <cfRule type="expression" dxfId="19" priority="321" stopIfTrue="1">
      <formula>IF($D$21="",TRUE)</formula>
    </cfRule>
  </conditionalFormatting>
  <conditionalFormatting sqref="D22:J22">
    <cfRule type="expression" dxfId="18" priority="322" stopIfTrue="1">
      <formula>IF($D$22="",TRUE)</formula>
    </cfRule>
  </conditionalFormatting>
  <conditionalFormatting sqref="G133:J133">
    <cfRule type="expression" dxfId="17" priority="316" stopIfTrue="1">
      <formula>IF(AND($D$133="Yes, using other format (describe)",$G$133=""),TRUE)</formula>
    </cfRule>
  </conditionalFormatting>
  <conditionalFormatting sqref="G135:J135">
    <cfRule type="expression" dxfId="16" priority="313">
      <formula>IF(AND($D$135="Yes, using other format (describe)",$G$135=""),TRUE)</formula>
    </cfRule>
  </conditionalFormatting>
  <conditionalFormatting sqref="G117:J117">
    <cfRule type="expression" dxfId="15" priority="1">
      <formula>IF(AND($D$71="Yes",$G$71=""),TRUE)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3">
      <formula1>LN</formula1>
    </dataValidation>
    <dataValidation type="list" allowBlank="1" showInputMessage="1" showErrorMessage="1" sqref="G13">
      <formula1>$B$180:$C$180</formula1>
    </dataValidation>
    <dataValidation type="list" allowBlank="1" showInputMessage="1" showErrorMessage="1" sqref="D115:E115 D117:E117 D135:E135 D137:E137">
      <formula1>$B$144:$B$145</formula1>
    </dataValidation>
    <dataValidation type="list" allowBlank="1" showInputMessage="1" showErrorMessage="1" sqref="D102:E111 D66:E75 D42:E51 D90:E99 D54:E63">
      <formula1>$B$144:$B$146</formula1>
    </dataValidation>
    <dataValidation type="list" allowBlank="1" showInputMessage="1" showErrorMessage="1" sqref="D78:E87">
      <formula1>$B$151:$B$157</formula1>
    </dataValidation>
    <dataValidation type="list" allowBlank="1" showInputMessage="1" showErrorMessage="1" sqref="D131:E131">
      <formula1>$B$159:$B$160</formula1>
    </dataValidation>
    <dataValidation type="list" allowBlank="1" showInputMessage="1" showErrorMessage="1" sqref="D133:E133">
      <formula1>$B$161:$B$163</formula1>
    </dataValidation>
    <dataValidation type="list" allowBlank="1" showInputMessage="1" showErrorMessage="1" sqref="D30:E39">
      <formula1>$B$144:$B$147</formula1>
    </dataValidation>
    <dataValidation type="list" allowBlank="1" showInputMessage="1" showErrorMessage="1" sqref="D120:E129">
      <formula1>$B$172:$B$174</formula1>
    </dataValidation>
    <dataValidation type="list" allowBlank="1" showInputMessage="1" showErrorMessage="1" sqref="D12">
      <formula1>$B$175:$C$175</formula1>
    </dataValidation>
    <dataValidation type="list" allowBlank="1" showInputMessage="1" showErrorMessage="1" sqref="E12:F12">
      <formula1>$B$176:$C$176</formula1>
    </dataValidation>
    <dataValidation type="list" allowBlank="1" showInputMessage="1" showErrorMessage="1" sqref="G12">
      <formula1>$B$177:$C$177</formula1>
    </dataValidation>
    <dataValidation type="list" allowBlank="1" showInputMessage="1" showErrorMessage="1" sqref="D13">
      <formula1>$B$178:$C$178</formula1>
    </dataValidation>
    <dataValidation type="list" allowBlank="1" showInputMessage="1" showErrorMessage="1" sqref="E13:F13">
      <formula1>$B$179:$C$179</formula1>
    </dataValidation>
  </dataValidations>
  <hyperlinks>
    <hyperlink ref="D11:J11" location="'Product List'!B6" display="'Product List'!B6"/>
    <hyperlink ref="I4:J4" location="Instructions!A67" display="Instructions!A67"/>
    <hyperlink ref="H101:J101" location="'Smelter List'!A1" display="'Smelter List'!A1"/>
    <hyperlink ref="B138:J138" location="Checker!A1" display="Checker!A1"/>
    <hyperlink ref="D20" r:id="rId1"/>
    <hyperlink ref="D24" r:id="rId2"/>
    <hyperlink ref="G117" r:id="rId3"/>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B8" sqref="B8"/>
    </sheetView>
  </sheetViews>
  <sheetFormatPr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5" t="str">
        <f ca="1">OFFSET(L!$C$1,MATCH("Smelter List"&amp;ADDRESS(ROW(),COLUMN(),4),L!$A:$A,0)-1,SL,,)</f>
        <v>Link to "RMAP Conformant Smelter List"</v>
      </c>
      <c r="K2" s="466"/>
      <c r="L2" s="466"/>
      <c r="M2" s="466"/>
      <c r="N2" s="466"/>
      <c r="O2" s="466"/>
      <c r="P2" s="162"/>
      <c r="Q2" s="163"/>
      <c r="R2" s="164"/>
      <c r="S2" s="164"/>
      <c r="T2" s="164"/>
      <c r="AB2" s="312"/>
      <c r="AH2" s="130" t="s">
        <v>25</v>
      </c>
    </row>
    <row r="3" spans="1:34" s="16" customFormat="1" ht="94.15" customHeight="1">
      <c r="A3" s="202"/>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5"/>
      <c r="G3" s="468" t="str">
        <f ca="1">OFFSET(L!$C$1,MATCH("General"&amp;"Cpy",L!$A:$A,0)-1,SL,,)</f>
        <v>© 2025 Responsible Minerals Initiative. All rights reserved.</v>
      </c>
      <c r="H3" s="469"/>
      <c r="I3" s="470"/>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24" customHeight="1">
      <c r="A5" s="198" t="s">
        <v>112</v>
      </c>
      <c r="B5" s="304" t="s">
        <v>40</v>
      </c>
      <c r="C5" s="152" t="s">
        <v>111</v>
      </c>
      <c r="D5" s="149" t="s">
        <v>111</v>
      </c>
      <c r="E5" s="149" t="s">
        <v>65</v>
      </c>
      <c r="F5" s="149" t="s">
        <v>112</v>
      </c>
      <c r="G5" s="149" t="str">
        <f ca="1">IF(C5=$X$4,"Enter smelter details",IF(ISERROR($V5),"",OFFSET('Smelter Look-up'!$F$4,$V5-4,0)))</f>
        <v>RMI</v>
      </c>
      <c r="H5" s="206">
        <f ca="1">IF(ISERROR($V5),"",OFFSET('Smelter Look-up'!$G$4,$V5-4,0))</f>
        <v>0</v>
      </c>
      <c r="I5" s="207" t="str">
        <f ca="1">IF(ISERROR($V5),"",OFFSET('Smelter Look-up'!$H$4,$V5-4,0))</f>
        <v>Taixing</v>
      </c>
      <c r="J5" s="207" t="str">
        <f ca="1">IF(ISERROR($V5),"",OFFSET('Smelter Look-up'!$I$4,$V5-4,0))</f>
        <v>Jiangsu Sheng</v>
      </c>
      <c r="K5" s="150"/>
      <c r="L5" s="150"/>
      <c r="M5" s="150"/>
      <c r="N5" s="150"/>
      <c r="O5" s="150"/>
      <c r="P5" s="209"/>
      <c r="Q5" s="151"/>
      <c r="R5" s="149" t="str">
        <f ca="1">IF(ISERROR($V5),"",OFFSET('Smelter Look-up'!$C$4,$V5-4,0)&amp;"")</f>
        <v>Gem (Jiangsu) Cobalt Industry Co., Ltd.</v>
      </c>
      <c r="S5" s="155" t="str">
        <f t="shared" ref="S5:S12" ca="1" si="0">IF(B5="","",IF(ISERROR(MATCH($E5,CL,0)),"Unknown",INDIRECT("'C'!$A$"&amp;MATCH($E5,CL,0)+1)))</f>
        <v>CN</v>
      </c>
      <c r="T5" s="155" t="str">
        <f ca="1">IF(B5="","",IF(ISERROR(MATCH($J5,SorP!$B$1:$B$6226,0)),"",INDIRECT("'SorP'!$A$"&amp;MATCH($S5&amp;$J5,SorP!C:C,0))))</f>
        <v>CN-JS</v>
      </c>
      <c r="U5" s="168"/>
      <c r="V5" s="169">
        <f>IF(C5="",NA(),MATCH($B5&amp;$C5,'Smelter Look-up'!$J:$J,0))</f>
        <v>36</v>
      </c>
      <c r="X5" s="170">
        <f t="shared" ref="X5:X12" si="1">IF(AND(C5="Smelter not listed",OR(LEN(D5)=0,LEN(E5)=0)),1,0)</f>
        <v>0</v>
      </c>
      <c r="AB5" s="314" t="str">
        <f t="shared" ref="AB5:AB12" si="2">IF(C5="","",B5)</f>
        <v>Cobalt</v>
      </c>
    </row>
    <row r="6" spans="1:34" s="170" customFormat="1" ht="24" customHeight="1">
      <c r="A6" s="198" t="s">
        <v>185</v>
      </c>
      <c r="B6" s="304" t="s">
        <v>40</v>
      </c>
      <c r="C6" s="152" t="s">
        <v>184</v>
      </c>
      <c r="D6" s="149" t="s">
        <v>184</v>
      </c>
      <c r="E6" s="149" t="s">
        <v>65</v>
      </c>
      <c r="F6" s="149" t="s">
        <v>185</v>
      </c>
      <c r="G6" s="149" t="str">
        <f ca="1">IF(C6=$X$4,"Enter smelter details",IF(ISERROR($V6),"",OFFSET('Smelter Look-up'!$F$4,$V6-4,0)))</f>
        <v>RMI</v>
      </c>
      <c r="H6" s="206">
        <f ca="1">IF(ISERROR($V6),"",OFFSET('Smelter Look-up'!$G$4,$V6-4,0))</f>
        <v>0</v>
      </c>
      <c r="I6" s="207" t="str">
        <f ca="1">IF(ISERROR($V6),"",OFFSET('Smelter Look-up'!$H$4,$V6-4,0))</f>
        <v>Lanzhou</v>
      </c>
      <c r="J6" s="207" t="str">
        <f ca="1">IF(ISERROR($V6),"",OFFSET('Smelter Look-up'!$I$4,$V6-4,0))</f>
        <v>Gansu Sheng</v>
      </c>
      <c r="K6" s="150"/>
      <c r="L6" s="150"/>
      <c r="M6" s="150"/>
      <c r="N6" s="150"/>
      <c r="O6" s="150"/>
      <c r="P6" s="209"/>
      <c r="Q6" s="151"/>
      <c r="R6" s="149" t="str">
        <f ca="1">IF(ISERROR($V6),"",OFFSET('Smelter Look-up'!$C$4,$V6-4,0)&amp;"")</f>
        <v>Lanzhou Jinchuan Advanced Materials Technology Co., Ltd.</v>
      </c>
      <c r="S6" s="155" t="str">
        <f t="shared" ca="1" si="0"/>
        <v>CN</v>
      </c>
      <c r="T6" s="155" t="str">
        <f ca="1">IF(B6="","",IF(ISERROR(MATCH($J6,SorP!$B$1:$B$6226,0)),"",INDIRECT("'SorP'!$A$"&amp;MATCH($S6&amp;$J6,SorP!C:C,0))))</f>
        <v>CN-GS</v>
      </c>
      <c r="U6" s="168"/>
      <c r="V6" s="169">
        <f>IF(C6="",NA(),MATCH($B6&amp;$C6,'Smelter Look-up'!$J:$J,0))</f>
        <v>88</v>
      </c>
      <c r="X6" s="170">
        <f t="shared" si="1"/>
        <v>0</v>
      </c>
      <c r="AB6" s="314" t="str">
        <f t="shared" si="2"/>
        <v>Cobalt</v>
      </c>
    </row>
    <row r="7" spans="1:34" s="170" customFormat="1" ht="24" customHeight="1">
      <c r="A7" s="198" t="s">
        <v>306</v>
      </c>
      <c r="B7" s="304" t="s">
        <v>40</v>
      </c>
      <c r="C7" s="152" t="s">
        <v>305</v>
      </c>
      <c r="D7" s="149" t="s">
        <v>305</v>
      </c>
      <c r="E7" s="149" t="s">
        <v>65</v>
      </c>
      <c r="F7" s="149" t="s">
        <v>306</v>
      </c>
      <c r="G7" s="149" t="str">
        <f ca="1">IF(C7=$X$4,"Enter smelter details",IF(ISERROR($V7),"",OFFSET('Smelter Look-up'!$F$4,$V7-4,0)))</f>
        <v>RMI</v>
      </c>
      <c r="H7" s="206">
        <f ca="1">IF(ISERROR($V7),"",OFFSET('Smelter Look-up'!$G$4,$V7-4,0))</f>
        <v>0</v>
      </c>
      <c r="I7" s="207" t="str">
        <f ca="1">IF(ISERROR($V7),"",OFFSET('Smelter Look-up'!$H$4,$V7-4,0))</f>
        <v>Zhuhai</v>
      </c>
      <c r="J7" s="207" t="str">
        <f ca="1">IF(ISERROR($V7),"",OFFSET('Smelter Look-up'!$I$4,$V7-4,0))</f>
        <v>Guangdong Sheng</v>
      </c>
      <c r="K7" s="150"/>
      <c r="L7" s="150"/>
      <c r="M7" s="150"/>
      <c r="N7" s="150"/>
      <c r="O7" s="150"/>
      <c r="P7" s="209"/>
      <c r="Q7" s="151"/>
      <c r="R7" s="149" t="str">
        <f ca="1">IF(ISERROR($V7),"",OFFSET('Smelter Look-up'!$C$4,$V7-4,0)&amp;"")</f>
        <v>Zhuhai Kelixin Metal Materials Co., Ltd.</v>
      </c>
      <c r="S7" s="155" t="str">
        <f t="shared" ca="1" si="0"/>
        <v>CN</v>
      </c>
      <c r="T7" s="155" t="str">
        <f ca="1">IF(B7="","",IF(ISERROR(MATCH($J7,SorP!$B$1:$B$6226,0)),"",INDIRECT("'SorP'!$A$"&amp;MATCH($S7&amp;$J7,SorP!C:C,0))))</f>
        <v>CN-GD</v>
      </c>
      <c r="U7" s="168"/>
      <c r="V7" s="169">
        <f>IF(C7="",NA(),MATCH($B7&amp;$C7,'Smelter Look-up'!$J:$J,0))</f>
        <v>173</v>
      </c>
      <c r="X7" s="170">
        <f t="shared" si="1"/>
        <v>0</v>
      </c>
      <c r="AB7" s="314" t="str">
        <f t="shared" si="2"/>
        <v>Cobalt</v>
      </c>
    </row>
    <row r="8" spans="1:34" s="170" customFormat="1" ht="24" customHeight="1">
      <c r="A8" s="198" t="s">
        <v>110</v>
      </c>
      <c r="B8" s="304" t="s">
        <v>40</v>
      </c>
      <c r="C8" s="152" t="s">
        <v>109</v>
      </c>
      <c r="D8" s="149" t="s">
        <v>109</v>
      </c>
      <c r="E8" s="149" t="s">
        <v>65</v>
      </c>
      <c r="F8" s="149" t="s">
        <v>110</v>
      </c>
      <c r="G8" s="149" t="str">
        <f ca="1">IF(C8=$X$4,"Enter smelter details",IF(ISERROR($V8),"",OFFSET('Smelter Look-up'!$F$4,$V8-4,0)))</f>
        <v>RMI</v>
      </c>
      <c r="H8" s="206">
        <f ca="1">IF(ISERROR($V8),"",OFFSET('Smelter Look-up'!$G$4,$V8-4,0))</f>
        <v>0</v>
      </c>
      <c r="I8" s="207" t="str">
        <f ca="1">IF(ISERROR($V8),"",OFFSET('Smelter Look-up'!$H$4,$V8-4,0))</f>
        <v>Ganzhou</v>
      </c>
      <c r="J8" s="207" t="str">
        <f ca="1">IF(ISERROR($V8),"",OFFSET('Smelter Look-up'!$I$4,$V8-4,0))</f>
        <v>Jiangxi Sheng</v>
      </c>
      <c r="K8" s="150"/>
      <c r="L8" s="150"/>
      <c r="M8" s="150"/>
      <c r="N8" s="150"/>
      <c r="O8" s="150"/>
      <c r="P8" s="209"/>
      <c r="Q8" s="151"/>
      <c r="R8" s="149" t="str">
        <f ca="1">IF(ISERROR($V8),"",OFFSET('Smelter Look-up'!$C$4,$V8-4,0)&amp;"")</f>
        <v>Ganzhou Tengyuan Cobalt New Material Co., Ltd.</v>
      </c>
      <c r="S8" s="155" t="str">
        <f t="shared" ca="1" si="0"/>
        <v>CN</v>
      </c>
      <c r="T8" s="155" t="str">
        <f ca="1">IF(B8="","",IF(ISERROR(MATCH($J8,SorP!$B$1:$B$6226,0)),"",INDIRECT("'SorP'!$A$"&amp;MATCH($S8&amp;$J8,SorP!C:C,0))))</f>
        <v>CN-JX</v>
      </c>
      <c r="U8" s="168"/>
      <c r="V8" s="169">
        <f>IF(C8="",NA(),MATCH($B8&amp;$C8,'Smelter Look-up'!$J:$J,0))</f>
        <v>35</v>
      </c>
      <c r="X8" s="170">
        <f t="shared" si="1"/>
        <v>0</v>
      </c>
      <c r="AB8" s="314" t="str">
        <f t="shared" si="2"/>
        <v>Cobalt</v>
      </c>
    </row>
    <row r="9" spans="1:34" s="170" customFormat="1" ht="24" customHeight="1">
      <c r="A9" s="198" t="s">
        <v>124</v>
      </c>
      <c r="B9" s="304" t="s">
        <v>40</v>
      </c>
      <c r="C9" s="152" t="s">
        <v>123</v>
      </c>
      <c r="D9" s="149" t="s">
        <v>123</v>
      </c>
      <c r="E9" s="149" t="s">
        <v>65</v>
      </c>
      <c r="F9" s="149" t="s">
        <v>124</v>
      </c>
      <c r="G9" s="149" t="str">
        <f ca="1">IF(C9=$X$4,"Enter smelter details",IF(ISERROR($V9),"",OFFSET('Smelter Look-up'!$F$4,$V9-4,0)))</f>
        <v>RMI</v>
      </c>
      <c r="H9" s="206">
        <f ca="1">IF(ISERROR($V9),"",OFFSET('Smelter Look-up'!$G$4,$V9-4,0))</f>
        <v>0</v>
      </c>
      <c r="I9" s="207" t="str">
        <f ca="1">IF(ISERROR($V9),"",OFFSET('Smelter Look-up'!$H$4,$V9-4,0))</f>
        <v>Yulin</v>
      </c>
      <c r="J9" s="207" t="str">
        <f ca="1">IF(ISERROR($V9),"",OFFSET('Smelter Look-up'!$I$4,$V9-4,0))</f>
        <v>Guangxi Zhuangzu Zizhiqu</v>
      </c>
      <c r="K9" s="150"/>
      <c r="L9" s="150"/>
      <c r="M9" s="150"/>
      <c r="N9" s="150"/>
      <c r="O9" s="150"/>
      <c r="P9" s="209"/>
      <c r="Q9" s="151"/>
      <c r="R9" s="149" t="str">
        <f ca="1">IF(ISERROR($V9),"",OFFSET('Smelter Look-up'!$C$4,$V9-4,0)&amp;"")</f>
        <v>Guangxi Yinyi Advanced Material Co., Ltd.</v>
      </c>
      <c r="S9" s="155" t="str">
        <f t="shared" ca="1" si="0"/>
        <v>CN</v>
      </c>
      <c r="T9" s="155" t="str">
        <f ca="1">IF(B9="","",IF(ISERROR(MATCH($J9,SorP!$B$1:$B$6226,0)),"",INDIRECT("'SorP'!$A$"&amp;MATCH($S9&amp;$J9,SorP!C:C,0))))</f>
        <v>CN-GX</v>
      </c>
      <c r="U9" s="168"/>
      <c r="V9" s="169">
        <f>IF(C9="",NA(),MATCH($B9&amp;$C9,'Smelter Look-up'!$J:$J,0))</f>
        <v>42</v>
      </c>
      <c r="X9" s="170">
        <f t="shared" si="1"/>
        <v>0</v>
      </c>
      <c r="AB9" s="314" t="str">
        <f t="shared" si="2"/>
        <v>Cobalt</v>
      </c>
    </row>
    <row r="10" spans="1:34" s="170" customFormat="1" ht="24" customHeight="1">
      <c r="A10" s="198" t="s">
        <v>195</v>
      </c>
      <c r="B10" s="304" t="s">
        <v>40</v>
      </c>
      <c r="C10" s="152" t="s">
        <v>194</v>
      </c>
      <c r="D10" s="149" t="s">
        <v>194</v>
      </c>
      <c r="E10" s="149" t="s">
        <v>65</v>
      </c>
      <c r="F10" s="149" t="s">
        <v>195</v>
      </c>
      <c r="G10" s="149" t="str">
        <f ca="1">IF(C10=$X$4,"Enter smelter details",IF(ISERROR($V10),"",OFFSET('Smelter Look-up'!$F$4,$V10-4,0)))</f>
        <v>RMI</v>
      </c>
      <c r="H10" s="206">
        <f ca="1">IF(ISERROR($V10),"",OFFSET('Smelter Look-up'!$G$4,$V10-4,0))</f>
        <v>0</v>
      </c>
      <c r="I10" s="207" t="str">
        <f ca="1">IF(ISERROR($V10),"",OFFSET('Smelter Look-up'!$H$4,$V10-4,0))</f>
        <v>Tianjin</v>
      </c>
      <c r="J10" s="207" t="str">
        <f ca="1">IF(ISERROR($V10),"",OFFSET('Smelter Look-up'!$I$4,$V10-4,0))</f>
        <v>Tianjin Shi</v>
      </c>
      <c r="K10" s="150"/>
      <c r="L10" s="150"/>
      <c r="M10" s="150"/>
      <c r="N10" s="150"/>
      <c r="O10" s="150"/>
      <c r="P10" s="209"/>
      <c r="Q10" s="151"/>
      <c r="R10" s="149" t="str">
        <f ca="1">IF(ISERROR($V10),"",OFFSET('Smelter Look-up'!$C$4,$V10-4,0)&amp;"")</f>
        <v>Tianjin Maolian Science &amp; Technology Co., Ltd.</v>
      </c>
      <c r="S10" s="155" t="str">
        <f t="shared" ca="1" si="0"/>
        <v>CN</v>
      </c>
      <c r="T10" s="155" t="str">
        <f ca="1">IF(B10="","",IF(ISERROR(MATCH($J10,SorP!$B$1:$B$6226,0)),"",INDIRECT("'SorP'!$A$"&amp;MATCH($S10&amp;$J10,SorP!C:C,0))))</f>
        <v>CN-TJ</v>
      </c>
      <c r="U10" s="168"/>
      <c r="V10" s="169">
        <f>IF(C10="",NA(),MATCH($B10&amp;$C10,'Smelter Look-up'!$J:$J,0))</f>
        <v>151</v>
      </c>
      <c r="X10" s="170">
        <f t="shared" si="1"/>
        <v>0</v>
      </c>
      <c r="AB10" s="314" t="str">
        <f t="shared" si="2"/>
        <v>Cobalt</v>
      </c>
    </row>
    <row r="11" spans="1:34" s="170" customFormat="1" ht="24" customHeight="1">
      <c r="A11" s="199" t="s">
        <v>301</v>
      </c>
      <c r="B11" s="304" t="s">
        <v>40</v>
      </c>
      <c r="C11" s="152" t="s">
        <v>300</v>
      </c>
      <c r="D11" s="149" t="s">
        <v>300</v>
      </c>
      <c r="E11" s="149" t="s">
        <v>65</v>
      </c>
      <c r="F11" s="149" t="s">
        <v>301</v>
      </c>
      <c r="G11" s="149" t="str">
        <f ca="1">IF(C11=$X$4,"Enter smelter details",IF(ISERROR($V11),"",OFFSET('Smelter Look-up'!$F$4,$V11-4,0)))</f>
        <v>RMI</v>
      </c>
      <c r="H11" s="206">
        <f ca="1">IF(ISERROR($V11),"",OFFSET('Smelter Look-up'!$G$4,$V11-4,0))</f>
        <v>0</v>
      </c>
      <c r="I11" s="207" t="str">
        <f ca="1">IF(ISERROR($V11),"",OFFSET('Smelter Look-up'!$H$4,$V11-4,0))</f>
        <v>Tongxiang</v>
      </c>
      <c r="J11" s="207" t="str">
        <f ca="1">IF(ISERROR($V11),"",OFFSET('Smelter Look-up'!$I$4,$V11-4,0))</f>
        <v>Zhejiang Sheng</v>
      </c>
      <c r="K11" s="150"/>
      <c r="L11" s="150"/>
      <c r="M11" s="150"/>
      <c r="N11" s="150"/>
      <c r="O11" s="150"/>
      <c r="P11" s="209"/>
      <c r="Q11" s="151"/>
      <c r="R11" s="149" t="str">
        <f ca="1">IF(ISERROR($V11),"",OFFSET('Smelter Look-up'!$C$4,$V11-4,0)&amp;"")</f>
        <v>Zhejiang Huayou Cobalt Company Limited</v>
      </c>
      <c r="S11" s="155" t="str">
        <f t="shared" ca="1" si="0"/>
        <v>CN</v>
      </c>
      <c r="T11" s="155" t="str">
        <f ca="1">IF(B11="","",IF(ISERROR(MATCH($J11,SorP!$B$1:$B$6226,0)),"",INDIRECT("'SorP'!$A$"&amp;MATCH($S11&amp;$J11,SorP!C:C,0))))</f>
        <v>CN-ZJ</v>
      </c>
      <c r="U11" s="168"/>
      <c r="V11" s="169">
        <f>IF(C11="",NA(),MATCH($B11&amp;$C11,'Smelter Look-up'!$J:$J,0))</f>
        <v>170</v>
      </c>
      <c r="X11" s="170">
        <f t="shared" si="1"/>
        <v>0</v>
      </c>
      <c r="AB11" s="314" t="str">
        <f t="shared" si="2"/>
        <v>Cobalt</v>
      </c>
    </row>
    <row r="12" spans="1:34" s="170" customFormat="1" ht="24" customHeight="1">
      <c r="A12" s="198" t="s">
        <v>102</v>
      </c>
      <c r="B12" s="304" t="s">
        <v>40</v>
      </c>
      <c r="C12" s="152" t="s">
        <v>100</v>
      </c>
      <c r="D12" s="149" t="s">
        <v>100</v>
      </c>
      <c r="E12" s="149" t="s">
        <v>101</v>
      </c>
      <c r="F12" s="149" t="s">
        <v>102</v>
      </c>
      <c r="G12" s="149" t="str">
        <f ca="1">IF(C12=$X$4,"Enter smelter details",IF(ISERROR($V12),"",OFFSET('Smelter Look-up'!$F$4,$V12-4,0)))</f>
        <v>RMI</v>
      </c>
      <c r="H12" s="206">
        <f ca="1">IF(ISERROR($V12),"",OFFSET('Smelter Look-up'!$G$4,$V12-4,0))</f>
        <v>0</v>
      </c>
      <c r="I12" s="207" t="str">
        <f ca="1">IF(ISERROR($V12),"",OFFSET('Smelter Look-up'!$H$4,$V12-4,0))</f>
        <v>Kokkola</v>
      </c>
      <c r="J12" s="207" t="str">
        <f ca="1">IF(ISERROR($V12),"",OFFSET('Smelter Look-up'!$I$4,$V12-4,0))</f>
        <v>Mellersta Österbotten</v>
      </c>
      <c r="K12" s="150"/>
      <c r="L12" s="150"/>
      <c r="M12" s="150"/>
      <c r="N12" s="150"/>
      <c r="O12" s="150"/>
      <c r="P12" s="209"/>
      <c r="Q12" s="151"/>
      <c r="R12" s="149" t="str">
        <f ca="1">IF(ISERROR($V12),"",OFFSET('Smelter Look-up'!$C$4,$V12-4,0)&amp;"")</f>
        <v>Umicore Finland Oy</v>
      </c>
      <c r="S12" s="155" t="str">
        <f t="shared" ca="1" si="0"/>
        <v>FI</v>
      </c>
      <c r="T12" s="155" t="str">
        <f ca="1">IF(B12="","",IF(ISERROR(MATCH($J12,SorP!$B$1:$B$6226,0)),"",INDIRECT("'SorP'!$A$"&amp;MATCH($S12&amp;$J12,SorP!C:C,0))))</f>
        <v>FI-07</v>
      </c>
      <c r="U12" s="168"/>
      <c r="V12" s="169">
        <f>IF(C12="",NA(),MATCH($B12&amp;$C12,'Smelter Look-up'!$J:$J,0))</f>
        <v>152</v>
      </c>
      <c r="X12" s="170">
        <f t="shared" si="1"/>
        <v>0</v>
      </c>
      <c r="AB12" s="314" t="str">
        <f t="shared" si="2"/>
        <v>Cobalt</v>
      </c>
    </row>
    <row r="13" spans="1:34" s="170" customFormat="1" ht="24" customHeight="1">
      <c r="A13" s="198" t="s">
        <v>278</v>
      </c>
      <c r="B13" s="304" t="s">
        <v>40</v>
      </c>
      <c r="C13" s="152" t="s">
        <v>276</v>
      </c>
      <c r="D13" s="149" t="s">
        <v>276</v>
      </c>
      <c r="E13" s="149" t="s">
        <v>277</v>
      </c>
      <c r="F13" s="149" t="s">
        <v>278</v>
      </c>
      <c r="G13" s="149" t="str">
        <f ca="1">IF(C13=$X$4,"Enter smelter details",IF(ISERROR($V13),"",OFFSET('Smelter Look-up'!$F$4,$V13-4,0)))</f>
        <v>RMI</v>
      </c>
      <c r="H13" s="206">
        <f ca="1">IF(ISERROR($V13),"",OFFSET('Smelter Look-up'!$G$4,$V13-4,0))</f>
        <v>0</v>
      </c>
      <c r="I13" s="207" t="str">
        <f ca="1">IF(ISERROR($V13),"",OFFSET('Smelter Look-up'!$H$4,$V13-4,0))</f>
        <v>Olen</v>
      </c>
      <c r="J13" s="207" t="str">
        <f ca="1">IF(ISERROR($V13),"",OFFSET('Smelter Look-up'!$I$4,$V13-4,0))</f>
        <v>Antwerpen</v>
      </c>
      <c r="K13" s="150"/>
      <c r="L13" s="150"/>
      <c r="M13" s="150"/>
      <c r="N13" s="150"/>
      <c r="O13" s="150"/>
      <c r="P13" s="209"/>
      <c r="Q13" s="151"/>
      <c r="R13" s="149" t="str">
        <f ca="1">IF(ISERROR($V13),"",OFFSET('Smelter Look-up'!$C$4,$V13-4,0)&amp;"")</f>
        <v>Umicore Olen</v>
      </c>
      <c r="S13" s="155" t="str">
        <f t="shared" ref="S13:S63" ca="1" si="3">IF(B13="","",IF(ISERROR(MATCH($E13,CL,0)),"Unknown",INDIRECT("'C'!$A$"&amp;MATCH($E13,CL,0)+1)))</f>
        <v>BE</v>
      </c>
      <c r="T13" s="155" t="str">
        <f ca="1">IF(B13="","",IF(ISERROR(MATCH($J13,SorP!$B$1:$B$6226,0)),"",INDIRECT("'SorP'!$A$"&amp;MATCH($S13&amp;$J13,SorP!C:C,0))))</f>
        <v>BE-VAN</v>
      </c>
      <c r="U13" s="168"/>
      <c r="V13" s="169">
        <f>IF(C13="",NA(),MATCH($B13&amp;$C13,'Smelter Look-up'!$J:$J,0))</f>
        <v>153</v>
      </c>
      <c r="X13" s="170">
        <f t="shared" ref="X13:X62" si="4">IF(AND(C13="Smelter not listed",OR(LEN(D13)=0,LEN(E13)=0)),1,0)</f>
        <v>0</v>
      </c>
      <c r="AB13" s="314" t="str">
        <f t="shared" ref="AB13:AB69" si="5">IF(C13="","",B13)</f>
        <v>Cobalt</v>
      </c>
    </row>
    <row r="14" spans="1:34" s="170" customFormat="1" ht="24" customHeight="1">
      <c r="A14" s="199" t="s">
        <v>88</v>
      </c>
      <c r="B14" s="304" t="s">
        <v>40</v>
      </c>
      <c r="C14" s="152" t="s">
        <v>86</v>
      </c>
      <c r="D14" s="149" t="s">
        <v>86</v>
      </c>
      <c r="E14" s="149" t="s">
        <v>87</v>
      </c>
      <c r="F14" s="149" t="s">
        <v>88</v>
      </c>
      <c r="G14" s="149" t="str">
        <f ca="1">IF(C14=$X$4,"Enter smelter details",IF(ISERROR($V14),"",OFFSET('Smelter Look-up'!$F$4,$V14-4,0)))</f>
        <v>RMI</v>
      </c>
      <c r="H14" s="206">
        <f ca="1">IF(ISERROR($V14),"",OFFSET('Smelter Look-up'!$G$4,$V14-4,0))</f>
        <v>0</v>
      </c>
      <c r="I14" s="207" t="str">
        <f ca="1">IF(ISERROR($V14),"",OFFSET('Smelter Look-up'!$H$4,$V14-4,0))</f>
        <v>Toamasina</v>
      </c>
      <c r="J14" s="207" t="str">
        <f ca="1">IF(ISERROR($V14),"",OFFSET('Smelter Look-up'!$I$4,$V14-4,0))</f>
        <v>Toamasina</v>
      </c>
      <c r="K14" s="150"/>
      <c r="L14" s="150"/>
      <c r="M14" s="150"/>
      <c r="N14" s="150"/>
      <c r="O14" s="150"/>
      <c r="P14" s="209"/>
      <c r="Q14" s="151"/>
      <c r="R14" s="149" t="str">
        <f ca="1">IF(ISERROR($V14),"",OFFSET('Smelter Look-up'!$C$4,$V14-4,0)&amp;"")</f>
        <v>Dynatec Madagascar Company</v>
      </c>
      <c r="S14" s="155" t="str">
        <f t="shared" ca="1" si="3"/>
        <v>MG</v>
      </c>
      <c r="T14" s="155" t="str">
        <f ca="1">IF(B14="","",IF(ISERROR(MATCH($J14,SorP!$B$1:$B$6226,0)),"",INDIRECT("'SorP'!$A$"&amp;MATCH($S14&amp;$J14,SorP!C:C,0))))</f>
        <v>MG-A</v>
      </c>
      <c r="U14" s="168"/>
      <c r="V14" s="169">
        <f>IF(C14="",NA(),MATCH($B14&amp;$C14,'Smelter Look-up'!$J:$J,0))</f>
        <v>21</v>
      </c>
      <c r="X14" s="170">
        <f t="shared" si="4"/>
        <v>0</v>
      </c>
      <c r="AB14" s="314" t="str">
        <f t="shared" si="5"/>
        <v>Cobalt</v>
      </c>
    </row>
    <row r="15" spans="1:34" s="170" customFormat="1" ht="24" customHeight="1">
      <c r="A15" s="199" t="s">
        <v>250</v>
      </c>
      <c r="B15" s="304" t="s">
        <v>40</v>
      </c>
      <c r="C15" s="152" t="s">
        <v>249</v>
      </c>
      <c r="D15" s="149" t="s">
        <v>249</v>
      </c>
      <c r="E15" s="149" t="s">
        <v>95</v>
      </c>
      <c r="F15" s="149" t="s">
        <v>250</v>
      </c>
      <c r="G15" s="149" t="str">
        <f ca="1">IF(C15=$X$4,"Enter smelter details",IF(ISERROR($V15),"",OFFSET('Smelter Look-up'!$F$4,$V15-4,0)))</f>
        <v>RMI</v>
      </c>
      <c r="H15" s="206">
        <f ca="1">IF(ISERROR($V15),"",OFFSET('Smelter Look-up'!$G$4,$V15-4,0))</f>
        <v>0</v>
      </c>
      <c r="I15" s="207" t="str">
        <f ca="1">IF(ISERROR($V15),"",OFFSET('Smelter Look-up'!$H$4,$V15-4,0))</f>
        <v>Port Colborne</v>
      </c>
      <c r="J15" s="207" t="str">
        <f ca="1">IF(ISERROR($V15),"",OFFSET('Smelter Look-up'!$I$4,$V15-4,0))</f>
        <v>Ontario</v>
      </c>
      <c r="K15" s="150"/>
      <c r="L15" s="150"/>
      <c r="M15" s="150"/>
      <c r="N15" s="150"/>
      <c r="O15" s="150"/>
      <c r="P15" s="209"/>
      <c r="Q15" s="151"/>
      <c r="R15" s="149" t="str">
        <f ca="1">IF(ISERROR($V15),"",OFFSET('Smelter Look-up'!$C$4,$V15-4,0)&amp;"")</f>
        <v>Port Colborne Refinery</v>
      </c>
      <c r="S15" s="155" t="str">
        <f t="shared" ca="1" si="3"/>
        <v>CA</v>
      </c>
      <c r="T15" s="155" t="str">
        <f ca="1">IF(B15="","",IF(ISERROR(MATCH($J15,SorP!$B$1:$B$6226,0)),"",INDIRECT("'SorP'!$A$"&amp;MATCH($S15&amp;$J15,SorP!C:C,0))))</f>
        <v>CA-ON</v>
      </c>
      <c r="U15" s="168"/>
      <c r="V15" s="169">
        <f>IF(C15="",NA(),MATCH($B15&amp;$C15,'Smelter Look-up'!$J:$J,0))</f>
        <v>125</v>
      </c>
      <c r="X15" s="170">
        <f t="shared" si="4"/>
        <v>0</v>
      </c>
      <c r="AB15" s="314" t="str">
        <f t="shared" si="5"/>
        <v>Cobalt</v>
      </c>
    </row>
    <row r="16" spans="1:34" s="170" customFormat="1" ht="24" customHeight="1">
      <c r="A16" s="198" t="s">
        <v>258</v>
      </c>
      <c r="B16" s="304" t="s">
        <v>40</v>
      </c>
      <c r="C16" s="152" t="s">
        <v>257</v>
      </c>
      <c r="D16" s="149" t="s">
        <v>257</v>
      </c>
      <c r="E16" s="149" t="s">
        <v>65</v>
      </c>
      <c r="F16" s="149" t="s">
        <v>258</v>
      </c>
      <c r="G16" s="149" t="str">
        <f ca="1">IF(C16=$X$4,"Enter smelter details",IF(ISERROR($V16),"",OFFSET('Smelter Look-up'!$F$4,$V16-4,0)))</f>
        <v>RMI</v>
      </c>
      <c r="H16" s="206">
        <f ca="1">IF(ISERROR($V16),"",OFFSET('Smelter Look-up'!$G$4,$V16-4,0))</f>
        <v>0</v>
      </c>
      <c r="I16" s="207" t="str">
        <f ca="1">IF(ISERROR($V16),"",OFFSET('Smelter Look-up'!$H$4,$V16-4,0))</f>
        <v>Quzhou</v>
      </c>
      <c r="J16" s="207" t="str">
        <f ca="1">IF(ISERROR($V16),"",OFFSET('Smelter Look-up'!$I$4,$V16-4,0))</f>
        <v>Zhejiang Sheng</v>
      </c>
      <c r="K16" s="150"/>
      <c r="L16" s="150"/>
      <c r="M16" s="150"/>
      <c r="N16" s="150"/>
      <c r="O16" s="150"/>
      <c r="P16" s="209"/>
      <c r="Q16" s="151"/>
      <c r="R16" s="149" t="str">
        <f ca="1">IF(ISERROR($V16),"",OFFSET('Smelter Look-up'!$C$4,$V16-4,0)&amp;"")</f>
        <v>Quzhou Huayou Cobalt New Material Co., Ltd.</v>
      </c>
      <c r="S16" s="155" t="str">
        <f t="shared" ca="1" si="3"/>
        <v>CN</v>
      </c>
      <c r="T16" s="155" t="str">
        <f ca="1">IF(B16="","",IF(ISERROR(MATCH($J16,SorP!$B$1:$B$6226,0)),"",INDIRECT("'SorP'!$A$"&amp;MATCH($S16&amp;$J16,SorP!C:C,0))))</f>
        <v>CN-ZJ</v>
      </c>
      <c r="U16" s="168"/>
      <c r="V16" s="169">
        <f>IF(C16="",NA(),MATCH($B16&amp;$C16,'Smelter Look-up'!$J:$J,0))</f>
        <v>133</v>
      </c>
      <c r="X16" s="170">
        <f t="shared" si="4"/>
        <v>0</v>
      </c>
      <c r="AB16" s="314" t="str">
        <f t="shared" si="5"/>
        <v>Cobalt</v>
      </c>
    </row>
    <row r="17" spans="1:28" s="170" customFormat="1" ht="24" customHeight="1">
      <c r="A17" s="198" t="s">
        <v>178</v>
      </c>
      <c r="B17" s="304" t="s">
        <v>40</v>
      </c>
      <c r="C17" s="152" t="s">
        <v>177</v>
      </c>
      <c r="D17" s="149" t="s">
        <v>177</v>
      </c>
      <c r="E17" s="149" t="s">
        <v>60</v>
      </c>
      <c r="F17" s="149" t="s">
        <v>178</v>
      </c>
      <c r="G17" s="149" t="str">
        <f ca="1">IF(C17=$X$4,"Enter smelter details",IF(ISERROR($V17),"",OFFSET('Smelter Look-up'!$F$4,$V17-4,0)))</f>
        <v>RMI</v>
      </c>
      <c r="H17" s="206">
        <f ca="1">IF(ISERROR($V17),"",OFFSET('Smelter Look-up'!$G$4,$V17-4,0))</f>
        <v>0</v>
      </c>
      <c r="I17" s="207" t="str">
        <f ca="1">IF(ISERROR($V17),"",OFFSET('Smelter Look-up'!$H$4,$V17-4,0))</f>
        <v>Kolwezi</v>
      </c>
      <c r="J17" s="207" t="str">
        <f ca="1">IF(ISERROR($V17),"",OFFSET('Smelter Look-up'!$I$4,$V17-4,0))</f>
        <v>Lualaba</v>
      </c>
      <c r="K17" s="150"/>
      <c r="L17" s="150"/>
      <c r="M17" s="150"/>
      <c r="N17" s="150"/>
      <c r="O17" s="150"/>
      <c r="P17" s="209"/>
      <c r="Q17" s="151"/>
      <c r="R17" s="149" t="str">
        <f ca="1">IF(ISERROR($V17),"",OFFSET('Smelter Look-up'!$C$4,$V17-4,0)&amp;"")</f>
        <v>Kamoto Copper Company</v>
      </c>
      <c r="S17" s="155" t="str">
        <f t="shared" ca="1" si="3"/>
        <v>CD</v>
      </c>
      <c r="T17" s="155" t="str">
        <f ca="1">IF(B17="","",IF(ISERROR(MATCH($J17,SorP!$B$1:$B$6226,0)),"",INDIRECT("'SorP'!$A$"&amp;MATCH($S17&amp;$J17,SorP!C:C,0))))</f>
        <v>CD-LU</v>
      </c>
      <c r="U17" s="168"/>
      <c r="V17" s="169">
        <f>IF(C17="",NA(),MATCH($B17&amp;$C17,'Smelter Look-up'!$J:$J,0))</f>
        <v>76</v>
      </c>
      <c r="X17" s="170">
        <f t="shared" si="4"/>
        <v>0</v>
      </c>
      <c r="AB17" s="314" t="str">
        <f t="shared" si="5"/>
        <v>Cobalt</v>
      </c>
    </row>
    <row r="18" spans="1:28" s="170" customFormat="1" ht="24" customHeight="1">
      <c r="A18" s="198" t="s">
        <v>239</v>
      </c>
      <c r="B18" s="304" t="s">
        <v>40</v>
      </c>
      <c r="C18" s="152" t="s">
        <v>12059</v>
      </c>
      <c r="D18" s="149" t="s">
        <v>12059</v>
      </c>
      <c r="E18" s="149" t="s">
        <v>133</v>
      </c>
      <c r="F18" s="149" t="s">
        <v>239</v>
      </c>
      <c r="G18" s="149" t="str">
        <f ca="1">IF(C18=$X$4,"Enter smelter details",IF(ISERROR($V18),"",OFFSET('Smelter Look-up'!$F$4,$V18-4,0)))</f>
        <v>RMI</v>
      </c>
      <c r="H18" s="206">
        <f ca="1">IF(ISERROR($V18),"",OFFSET('Smelter Look-up'!$G$4,$V18-4,0))</f>
        <v>0</v>
      </c>
      <c r="I18" s="207" t="str">
        <f ca="1">IF(ISERROR($V18),"",OFFSET('Smelter Look-up'!$H$4,$V18-4,0))</f>
        <v>Niihama</v>
      </c>
      <c r="J18" s="207" t="str">
        <f ca="1">IF(ISERROR($V18),"",OFFSET('Smelter Look-up'!$I$4,$V18-4,0))</f>
        <v>Ehime</v>
      </c>
      <c r="K18" s="150"/>
      <c r="L18" s="150"/>
      <c r="M18" s="150"/>
      <c r="N18" s="150"/>
      <c r="O18" s="150"/>
      <c r="P18" s="209"/>
      <c r="Q18" s="151"/>
      <c r="R18" s="149" t="str">
        <f ca="1">IF(ISERROR($V18),"",OFFSET('Smelter Look-up'!$C$4,$V18-4,0)&amp;"")</f>
        <v>Niihama Nickel Refinery, Sumitomo Metal Mining</v>
      </c>
      <c r="S18" s="155" t="str">
        <f t="shared" ca="1" si="3"/>
        <v>JP</v>
      </c>
      <c r="T18" s="155" t="str">
        <f ca="1">IF(B18="","",IF(ISERROR(MATCH($J18,SorP!$B$1:$B$6226,0)),"",INDIRECT("'SorP'!$A$"&amp;MATCH($S18&amp;$J18,SorP!C:C,0))))</f>
        <v>JP-38</v>
      </c>
      <c r="U18" s="168"/>
      <c r="V18" s="169">
        <f>IF(C18="",NA(),MATCH($B18&amp;$C18,'Smelter Look-up'!$J:$J,0))</f>
        <v>122</v>
      </c>
      <c r="X18" s="170">
        <f t="shared" si="4"/>
        <v>0</v>
      </c>
      <c r="AB18" s="314" t="str">
        <f t="shared" si="5"/>
        <v>Cobalt</v>
      </c>
    </row>
    <row r="19" spans="1:28" s="170" customFormat="1" ht="24" customHeight="1">
      <c r="A19" s="198" t="s">
        <v>72</v>
      </c>
      <c r="B19" s="304" t="s">
        <v>40</v>
      </c>
      <c r="C19" s="152" t="s">
        <v>70</v>
      </c>
      <c r="D19" s="149" t="s">
        <v>70</v>
      </c>
      <c r="E19" s="149" t="s">
        <v>71</v>
      </c>
      <c r="F19" s="149" t="s">
        <v>72</v>
      </c>
      <c r="G19" s="149" t="str">
        <f ca="1">IF(C19=$X$4,"Enter smelter details",IF(ISERROR($V19),"",OFFSET('Smelter Look-up'!$F$4,$V19-4,0)))</f>
        <v>RMI</v>
      </c>
      <c r="H19" s="206">
        <f ca="1">IF(ISERROR($V19),"",OFFSET('Smelter Look-up'!$G$4,$V19-4,0))</f>
        <v>0</v>
      </c>
      <c r="I19" s="207" t="str">
        <f ca="1">IF(ISERROR($V19),"",OFFSET('Smelter Look-up'!$H$4,$V19-4,0))</f>
        <v>Marrakech</v>
      </c>
      <c r="J19" s="207" t="str">
        <f ca="1">IF(ISERROR($V19),"",OFFSET('Smelter Look-up'!$I$4,$V19-4,0))</f>
        <v>Marrakech-Safi</v>
      </c>
      <c r="K19" s="150"/>
      <c r="L19" s="150"/>
      <c r="M19" s="150"/>
      <c r="N19" s="150"/>
      <c r="O19" s="150"/>
      <c r="P19" s="209"/>
      <c r="Q19" s="151"/>
      <c r="R19" s="149" t="str">
        <f ca="1">IF(ISERROR($V19),"",OFFSET('Smelter Look-up'!$C$4,$V19-4,0)&amp;"")</f>
        <v>Compagnie de Tifnout Tiranimine</v>
      </c>
      <c r="S19" s="155" t="str">
        <f t="shared" ca="1" si="3"/>
        <v>MA</v>
      </c>
      <c r="T19" s="155" t="str">
        <f ca="1">IF(B19="","",IF(ISERROR(MATCH($J19,SorP!$B$1:$B$6226,0)),"",INDIRECT("'SorP'!$A$"&amp;MATCH($S19&amp;$J19,SorP!C:C,0))))</f>
        <v>MA-07</v>
      </c>
      <c r="U19" s="168"/>
      <c r="V19" s="169">
        <f>IF(C19="",NA(),MATCH($B19&amp;$C19,'Smelter Look-up'!$J:$J,0))</f>
        <v>12</v>
      </c>
      <c r="X19" s="170">
        <f t="shared" si="4"/>
        <v>0</v>
      </c>
      <c r="AB19" s="314" t="str">
        <f t="shared" si="5"/>
        <v>Cobalt</v>
      </c>
    </row>
    <row r="20" spans="1:28" s="170" customFormat="1" ht="24" customHeight="1">
      <c r="A20" s="199" t="s">
        <v>120</v>
      </c>
      <c r="B20" s="304" t="s">
        <v>40</v>
      </c>
      <c r="C20" s="152" t="s">
        <v>119</v>
      </c>
      <c r="D20" s="149" t="s">
        <v>119</v>
      </c>
      <c r="E20" s="149" t="s">
        <v>65</v>
      </c>
      <c r="F20" s="149" t="s">
        <v>120</v>
      </c>
      <c r="G20" s="149" t="str">
        <f ca="1">IF(C20=$X$4,"Enter smelter details",IF(ISERROR($V20),"",OFFSET('Smelter Look-up'!$F$4,$V20-4,0)))</f>
        <v>RMI</v>
      </c>
      <c r="H20" s="206">
        <f ca="1">IF(ISERROR($V20),"",OFFSET('Smelter Look-up'!$G$4,$V20-4,0))</f>
        <v>0</v>
      </c>
      <c r="I20" s="207" t="str">
        <f ca="1">IF(ISERROR($V20),"",OFFSET('Smelter Look-up'!$H$4,$V20-4,0))</f>
        <v>Guangzhou</v>
      </c>
      <c r="J20" s="207" t="str">
        <f ca="1">IF(ISERROR($V20),"",OFFSET('Smelter Look-up'!$I$4,$V20-4,0))</f>
        <v>Guangdong Sheng</v>
      </c>
      <c r="K20" s="150"/>
      <c r="L20" s="150"/>
      <c r="M20" s="150"/>
      <c r="N20" s="150"/>
      <c r="O20" s="150"/>
      <c r="P20" s="209"/>
      <c r="Q20" s="151"/>
      <c r="R20" s="149" t="str">
        <f ca="1">IF(ISERROR($V20),"",OFFSET('Smelter Look-up'!$C$4,$V20-4,0)&amp;"")</f>
        <v>Guangdong Jiana Energy Technology Co., Ltd.</v>
      </c>
      <c r="S20" s="155" t="str">
        <f t="shared" ca="1" si="3"/>
        <v>CN</v>
      </c>
      <c r="T20" s="155" t="str">
        <f ca="1">IF(B20="","",IF(ISERROR(MATCH($J20,SorP!$B$1:$B$6226,0)),"",INDIRECT("'SorP'!$A$"&amp;MATCH($S20&amp;$J20,SorP!C:C,0))))</f>
        <v>CN-GD</v>
      </c>
      <c r="U20" s="168"/>
      <c r="V20" s="169">
        <f>IF(C20="",NA(),MATCH($B20&amp;$C20,'Smelter Look-up'!$J:$J,0))</f>
        <v>40</v>
      </c>
      <c r="X20" s="170">
        <f t="shared" si="4"/>
        <v>0</v>
      </c>
      <c r="AB20" s="314" t="str">
        <f t="shared" si="5"/>
        <v>Cobalt</v>
      </c>
    </row>
    <row r="21" spans="1:28" s="170" customFormat="1" ht="24" customHeight="1">
      <c r="A21" s="198" t="s">
        <v>164</v>
      </c>
      <c r="B21" s="304" t="s">
        <v>40</v>
      </c>
      <c r="C21" s="152" t="s">
        <v>163</v>
      </c>
      <c r="D21" s="149" t="s">
        <v>163</v>
      </c>
      <c r="E21" s="149" t="s">
        <v>65</v>
      </c>
      <c r="F21" s="149" t="s">
        <v>164</v>
      </c>
      <c r="G21" s="149" t="str">
        <f ca="1">IF(C21=$X$4,"Enter smelter details",IF(ISERROR($V21),"",OFFSET('Smelter Look-up'!$F$4,$V21-4,0)))</f>
        <v>RMI</v>
      </c>
      <c r="H21" s="206">
        <f ca="1">IF(ISERROR($V21),"",OFFSET('Smelter Look-up'!$G$4,$V21-4,0))</f>
        <v>0</v>
      </c>
      <c r="I21" s="207" t="str">
        <f ca="1">IF(ISERROR($V21),"",OFFSET('Smelter Look-up'!$H$4,$V21-4,0))</f>
        <v>Haimen</v>
      </c>
      <c r="J21" s="207" t="str">
        <f ca="1">IF(ISERROR($V21),"",OFFSET('Smelter Look-up'!$I$4,$V21-4,0))</f>
        <v>Jiangsu Sheng</v>
      </c>
      <c r="K21" s="150"/>
      <c r="L21" s="150"/>
      <c r="M21" s="150"/>
      <c r="N21" s="150"/>
      <c r="O21" s="150"/>
      <c r="P21" s="209"/>
      <c r="Q21" s="151"/>
      <c r="R21" s="149" t="str">
        <f ca="1">IF(ISERROR($V21),"",OFFSET('Smelter Look-up'!$C$4,$V21-4,0)&amp;"")</f>
        <v>Jiangsu Xiongfeng Technology Co., Ltd.</v>
      </c>
      <c r="S21" s="155" t="str">
        <f t="shared" ca="1" si="3"/>
        <v>CN</v>
      </c>
      <c r="T21" s="155" t="str">
        <f ca="1">IF(B21="","",IF(ISERROR(MATCH($J21,SorP!$B$1:$B$6226,0)),"",INDIRECT("'SorP'!$A$"&amp;MATCH($S21&amp;$J21,SorP!C:C,0))))</f>
        <v>CN-JS</v>
      </c>
      <c r="U21" s="168"/>
      <c r="V21" s="169">
        <f>IF(C21="",NA(),MATCH($B21&amp;$C21,'Smelter Look-up'!$J:$J,0))</f>
        <v>68</v>
      </c>
      <c r="X21" s="170">
        <f t="shared" si="4"/>
        <v>0</v>
      </c>
      <c r="AB21" s="314" t="str">
        <f t="shared" si="5"/>
        <v>Cobalt</v>
      </c>
    </row>
    <row r="22" spans="1:28" s="170" customFormat="1" ht="24" customHeight="1">
      <c r="A22" s="198" t="s">
        <v>269</v>
      </c>
      <c r="B22" s="304" t="s">
        <v>40</v>
      </c>
      <c r="C22" s="152" t="s">
        <v>20059</v>
      </c>
      <c r="D22" s="149" t="s">
        <v>20059</v>
      </c>
      <c r="E22" s="149" t="s">
        <v>81</v>
      </c>
      <c r="F22" s="149" t="s">
        <v>269</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KR</v>
      </c>
      <c r="T22" s="155" t="str">
        <f ca="1">IF(B22="","",IF(ISERROR(MATCH($J22,SorP!$B$1:$B$6226,0)),"",INDIRECT("'SorP'!$A$"&amp;MATCH($S22&amp;$J22,SorP!C:C,0))))</f>
        <v/>
      </c>
      <c r="U22" s="168"/>
      <c r="V22" s="169" t="e">
        <f>IF(C22="",NA(),MATCH($B22&amp;$C22,'Smelter Look-up'!$J:$J,0))</f>
        <v>#N/A</v>
      </c>
      <c r="X22" s="170">
        <f t="shared" si="4"/>
        <v>0</v>
      </c>
      <c r="AB22" s="314" t="str">
        <f t="shared" si="5"/>
        <v>Cobalt</v>
      </c>
    </row>
    <row r="23" spans="1:28" s="170" customFormat="1" ht="24" customHeight="1">
      <c r="A23" s="198" t="s">
        <v>166</v>
      </c>
      <c r="B23" s="304" t="s">
        <v>40</v>
      </c>
      <c r="C23" s="152" t="s">
        <v>12263</v>
      </c>
      <c r="D23" s="149" t="s">
        <v>12263</v>
      </c>
      <c r="E23" s="149" t="s">
        <v>65</v>
      </c>
      <c r="F23" s="149" t="s">
        <v>166</v>
      </c>
      <c r="G23" s="149" t="str">
        <f ca="1">IF(C23=$X$4,"Enter smelter details",IF(ISERROR($V23),"",OFFSET('Smelter Look-up'!$F$4,$V23-4,0)))</f>
        <v>RMI</v>
      </c>
      <c r="H23" s="206">
        <f ca="1">IF(ISERROR($V23),"",OFFSET('Smelter Look-up'!$G$4,$V23-4,0))</f>
        <v>0</v>
      </c>
      <c r="I23" s="207" t="str">
        <f ca="1">IF(ISERROR($V23),"",OFFSET('Smelter Look-up'!$H$4,$V23-4,0))</f>
        <v>Ganzhou</v>
      </c>
      <c r="J23" s="207" t="str">
        <f ca="1">IF(ISERROR($V23),"",OFFSET('Smelter Look-up'!$I$4,$V23-4,0))</f>
        <v>Jiangxi Sheng</v>
      </c>
      <c r="K23" s="150"/>
      <c r="L23" s="150"/>
      <c r="M23" s="150"/>
      <c r="N23" s="150"/>
      <c r="O23" s="150"/>
      <c r="P23" s="209"/>
      <c r="Q23" s="151"/>
      <c r="R23" s="149" t="str">
        <f ca="1">IF(ISERROR($V23),"",OFFSET('Smelter Look-up'!$C$4,$V23-4,0)&amp;"")</f>
        <v>Jiangxi Jiangwu Cobalt Industrial Co., Ltd.</v>
      </c>
      <c r="S23" s="155" t="str">
        <f t="shared" ca="1" si="3"/>
        <v>CN</v>
      </c>
      <c r="T23" s="155" t="str">
        <f ca="1">IF(B23="","",IF(ISERROR(MATCH($J23,SorP!$B$1:$B$6226,0)),"",INDIRECT("'SorP'!$A$"&amp;MATCH($S23&amp;$J23,SorP!C:C,0))))</f>
        <v>CN-JX</v>
      </c>
      <c r="U23" s="168"/>
      <c r="V23" s="169">
        <f>IF(C23="",NA(),MATCH($B23&amp;$C23,'Smelter Look-up'!$J:$J,0))</f>
        <v>69</v>
      </c>
      <c r="X23" s="170">
        <f t="shared" si="4"/>
        <v>0</v>
      </c>
      <c r="AB23" s="314" t="str">
        <f t="shared" si="5"/>
        <v>Cobalt</v>
      </c>
    </row>
    <row r="24" spans="1:28" s="170" customFormat="1" ht="24" customHeight="1">
      <c r="A24" s="155" t="s">
        <v>169</v>
      </c>
      <c r="B24" s="304" t="s">
        <v>40</v>
      </c>
      <c r="C24" s="152" t="s">
        <v>168</v>
      </c>
      <c r="D24" s="149" t="s">
        <v>168</v>
      </c>
      <c r="E24" s="149" t="s">
        <v>65</v>
      </c>
      <c r="F24" s="149" t="s">
        <v>169</v>
      </c>
      <c r="G24" s="149" t="str">
        <f ca="1">IF(C24=$X$4,"Enter smelter details",IF(ISERROR($V24),"",OFFSET('Smelter Look-up'!$F$4,$V24-4,0)))</f>
        <v>RMI</v>
      </c>
      <c r="H24" s="206">
        <f ca="1">IF(ISERROR($V24),"",OFFSET('Smelter Look-up'!$G$4,$V24-4,0))</f>
        <v>0</v>
      </c>
      <c r="I24" s="207" t="str">
        <f ca="1">IF(ISERROR($V24),"",OFFSET('Smelter Look-up'!$H$4,$V24-4,0))</f>
        <v>Jingmen</v>
      </c>
      <c r="J24" s="207" t="str">
        <f ca="1">IF(ISERROR($V24),"",OFFSET('Smelter Look-up'!$I$4,$V24-4,0))</f>
        <v>Hubei Sheng</v>
      </c>
      <c r="K24" s="150"/>
      <c r="L24" s="150"/>
      <c r="M24" s="150"/>
      <c r="N24" s="150"/>
      <c r="O24" s="150"/>
      <c r="P24" s="209"/>
      <c r="Q24" s="151"/>
      <c r="R24" s="149" t="str">
        <f ca="1">IF(ISERROR($V24),"",OFFSET('Smelter Look-up'!$C$4,$V24-4,0)&amp;"")</f>
        <v>Jingmen GEM Co., Ltd.</v>
      </c>
      <c r="S24" s="155" t="str">
        <f t="shared" ca="1" si="3"/>
        <v>CN</v>
      </c>
      <c r="T24" s="155" t="str">
        <f ca="1">IF(B24="","",IF(ISERROR(MATCH($J24,SorP!$B$1:$B$6226,0)),"",INDIRECT("'SorP'!$A$"&amp;MATCH($S24&amp;$J24,SorP!C:C,0))))</f>
        <v>CN-HB</v>
      </c>
      <c r="U24" s="168"/>
      <c r="V24" s="169">
        <f>IF(C24="",NA(),MATCH($B24&amp;$C24,'Smelter Look-up'!$J:$J,0))</f>
        <v>74</v>
      </c>
      <c r="X24" s="170">
        <f t="shared" si="4"/>
        <v>0</v>
      </c>
      <c r="AB24" s="314" t="str">
        <f t="shared" si="5"/>
        <v>Cobalt</v>
      </c>
    </row>
    <row r="25" spans="1:28" s="170" customFormat="1" ht="24" customHeight="1">
      <c r="A25" s="155" t="s">
        <v>108</v>
      </c>
      <c r="B25" s="304" t="s">
        <v>40</v>
      </c>
      <c r="C25" s="152" t="s">
        <v>107</v>
      </c>
      <c r="D25" s="149" t="s">
        <v>107</v>
      </c>
      <c r="E25" s="149" t="s">
        <v>65</v>
      </c>
      <c r="F25" s="149" t="s">
        <v>108</v>
      </c>
      <c r="G25" s="149" t="str">
        <f ca="1">IF(C25=$X$4,"Enter smelter details",IF(ISERROR($V25),"",OFFSET('Smelter Look-up'!$F$4,$V25-4,0)))</f>
        <v>RMI</v>
      </c>
      <c r="H25" s="206">
        <f ca="1">IF(ISERROR($V25),"",OFFSET('Smelter Look-up'!$G$4,$V25-4,0))</f>
        <v>0</v>
      </c>
      <c r="I25" s="207" t="str">
        <f ca="1">IF(ISERROR($V25),"",OFFSET('Smelter Look-up'!$H$4,$V25-4,0))</f>
        <v>Ganzhou</v>
      </c>
      <c r="J25" s="207" t="str">
        <f ca="1">IF(ISERROR($V25),"",OFFSET('Smelter Look-up'!$I$4,$V25-4,0))</f>
        <v>Jiangxi Sheng</v>
      </c>
      <c r="K25" s="150"/>
      <c r="L25" s="150"/>
      <c r="M25" s="150"/>
      <c r="N25" s="150"/>
      <c r="O25" s="150"/>
      <c r="P25" s="209"/>
      <c r="Q25" s="151"/>
      <c r="R25" s="149" t="str">
        <f ca="1">IF(ISERROR($V25),"",OFFSET('Smelter Look-up'!$C$4,$V25-4,0)&amp;"")</f>
        <v>Ganzhou Highpower Technology Co., Ltd.</v>
      </c>
      <c r="S25" s="155" t="str">
        <f t="shared" ca="1" si="3"/>
        <v>CN</v>
      </c>
      <c r="T25" s="155" t="str">
        <f ca="1">IF(B25="","",IF(ISERROR(MATCH($J25,SorP!$B$1:$B$6226,0)),"",INDIRECT("'SorP'!$A$"&amp;MATCH($S25&amp;$J25,SorP!C:C,0))))</f>
        <v>CN-JX</v>
      </c>
      <c r="U25" s="168"/>
      <c r="V25" s="169">
        <f>IF(C25="",NA(),MATCH($B25&amp;$C25,'Smelter Look-up'!$J:$J,0))</f>
        <v>34</v>
      </c>
      <c r="X25" s="170">
        <f t="shared" si="4"/>
        <v>0</v>
      </c>
      <c r="AB25" s="314" t="str">
        <f t="shared" si="5"/>
        <v>Cobalt</v>
      </c>
    </row>
    <row r="26" spans="1:28" s="170" customFormat="1" ht="24" customHeight="1">
      <c r="A26" s="155" t="s">
        <v>246</v>
      </c>
      <c r="B26" s="304" t="s">
        <v>40</v>
      </c>
      <c r="C26" s="152" t="s">
        <v>245</v>
      </c>
      <c r="D26" s="149" t="s">
        <v>245</v>
      </c>
      <c r="E26" s="149" t="s">
        <v>101</v>
      </c>
      <c r="F26" s="149" t="s">
        <v>246</v>
      </c>
      <c r="G26" s="149" t="str">
        <f ca="1">IF(C26=$X$4,"Enter smelter details",IF(ISERROR($V26),"",OFFSET('Smelter Look-up'!$F$4,$V26-4,0)))</f>
        <v>RMI</v>
      </c>
      <c r="H26" s="206">
        <f ca="1">IF(ISERROR($V26),"",OFFSET('Smelter Look-up'!$G$4,$V26-4,0))</f>
        <v>0</v>
      </c>
      <c r="I26" s="207" t="str">
        <f ca="1">IF(ISERROR($V26),"",OFFSET('Smelter Look-up'!$H$4,$V26-4,0))</f>
        <v>Harvjavalta</v>
      </c>
      <c r="J26" s="207" t="str">
        <f ca="1">IF(ISERROR($V26),"",OFFSET('Smelter Look-up'!$I$4,$V26-4,0))</f>
        <v>Satakunta</v>
      </c>
      <c r="K26" s="150"/>
      <c r="L26" s="150"/>
      <c r="M26" s="150"/>
      <c r="N26" s="150"/>
      <c r="O26" s="150"/>
      <c r="P26" s="209"/>
      <c r="Q26" s="151"/>
      <c r="R26" s="149" t="str">
        <f ca="1">IF(ISERROR($V26),"",OFFSET('Smelter Look-up'!$C$4,$V26-4,0)&amp;"")</f>
        <v>NORILSK NICKEL HARJAVALTA OY</v>
      </c>
      <c r="S26" s="155" t="str">
        <f t="shared" ca="1" si="3"/>
        <v>FI</v>
      </c>
      <c r="T26" s="155" t="str">
        <f ca="1">IF(B26="","",IF(ISERROR(MATCH($J26,SorP!$B$1:$B$6226,0)),"",INDIRECT("'SorP'!$A$"&amp;MATCH($S26&amp;$J26,SorP!C:C,0))))</f>
        <v>FI-17</v>
      </c>
      <c r="U26" s="168"/>
      <c r="V26" s="169">
        <f>IF(C26="",NA(),MATCH($B26&amp;$C26,'Smelter Look-up'!$J:$J,0))</f>
        <v>124</v>
      </c>
      <c r="X26" s="170">
        <f t="shared" si="4"/>
        <v>0</v>
      </c>
      <c r="AB26" s="314" t="str">
        <f t="shared" si="5"/>
        <v>Cobalt</v>
      </c>
    </row>
    <row r="27" spans="1:28" s="170" customFormat="1" ht="24" customHeight="1">
      <c r="A27" s="155" t="s">
        <v>153</v>
      </c>
      <c r="B27" s="304" t="s">
        <v>40</v>
      </c>
      <c r="C27" s="152" t="s">
        <v>152</v>
      </c>
      <c r="D27" s="149" t="s">
        <v>152</v>
      </c>
      <c r="E27" s="149" t="s">
        <v>65</v>
      </c>
      <c r="F27" s="149" t="s">
        <v>153</v>
      </c>
      <c r="G27" s="149" t="str">
        <f ca="1">IF(C27=$X$4,"Enter smelter details",IF(ISERROR($V27),"",OFFSET('Smelter Look-up'!$F$4,$V27-4,0)))</f>
        <v>RMI</v>
      </c>
      <c r="H27" s="206">
        <f ca="1">IF(ISERROR($V27),"",OFFSET('Smelter Look-up'!$G$4,$V27-4,0))</f>
        <v>0</v>
      </c>
      <c r="I27" s="207" t="str">
        <f ca="1">IF(ISERROR($V27),"",OFFSET('Smelter Look-up'!$H$4,$V27-4,0))</f>
        <v>Changsha</v>
      </c>
      <c r="J27" s="207" t="str">
        <f ca="1">IF(ISERROR($V27),"",OFFSET('Smelter Look-up'!$I$4,$V27-4,0))</f>
        <v>Hunan Sheng</v>
      </c>
      <c r="K27" s="150"/>
      <c r="L27" s="150"/>
      <c r="M27" s="150"/>
      <c r="N27" s="150"/>
      <c r="O27" s="150"/>
      <c r="P27" s="209"/>
      <c r="Q27" s="151"/>
      <c r="R27" s="149" t="str">
        <f ca="1">IF(ISERROR($V27),"",OFFSET('Smelter Look-up'!$C$4,$V27-4,0)&amp;"")</f>
        <v>Hunan Yacheng New Energy Co., Ltd.</v>
      </c>
      <c r="S27" s="155" t="str">
        <f t="shared" ca="1" si="3"/>
        <v>CN</v>
      </c>
      <c r="T27" s="155" t="str">
        <f ca="1">IF(B27="","",IF(ISERROR(MATCH($J27,SorP!$B$1:$B$6226,0)),"",INDIRECT("'SorP'!$A$"&amp;MATCH($S27&amp;$J27,SorP!C:C,0))))</f>
        <v>CN-HN</v>
      </c>
      <c r="U27" s="168"/>
      <c r="V27" s="169">
        <f>IF(C27="",NA(),MATCH($B27&amp;$C27,'Smelter Look-up'!$J:$J,0))</f>
        <v>55</v>
      </c>
      <c r="X27" s="170">
        <f t="shared" si="4"/>
        <v>0</v>
      </c>
      <c r="AB27" s="314" t="str">
        <f t="shared" si="5"/>
        <v>Cobalt</v>
      </c>
    </row>
    <row r="28" spans="1:28" s="170" customFormat="1" ht="24" customHeight="1">
      <c r="A28" s="155" t="s">
        <v>220</v>
      </c>
      <c r="B28" s="304" t="s">
        <v>40</v>
      </c>
      <c r="C28" s="152" t="s">
        <v>218</v>
      </c>
      <c r="D28" s="149" t="s">
        <v>218</v>
      </c>
      <c r="E28" s="149" t="s">
        <v>219</v>
      </c>
      <c r="F28" s="149" t="s">
        <v>220</v>
      </c>
      <c r="G28" s="149" t="str">
        <f ca="1">IF(C28=$X$4,"Enter smelter details",IF(ISERROR($V28),"",OFFSET('Smelter Look-up'!$F$4,$V28-4,0)))</f>
        <v>RMI</v>
      </c>
      <c r="H28" s="206">
        <f ca="1">IF(ISERROR($V28),"",OFFSET('Smelter Look-up'!$G$4,$V28-4,0))</f>
        <v>0</v>
      </c>
      <c r="I28" s="207" t="str">
        <f ca="1">IF(ISERROR($V28),"",OFFSET('Smelter Look-up'!$H$4,$V28-4,0))</f>
        <v>Laverton</v>
      </c>
      <c r="J28" s="207" t="str">
        <f ca="1">IF(ISERROR($V28),"",OFFSET('Smelter Look-up'!$I$4,$V28-4,0))</f>
        <v>Western Australia</v>
      </c>
      <c r="K28" s="150"/>
      <c r="L28" s="150"/>
      <c r="M28" s="150"/>
      <c r="N28" s="150"/>
      <c r="O28" s="150"/>
      <c r="P28" s="209"/>
      <c r="Q28" s="151"/>
      <c r="R28" s="149" t="str">
        <f ca="1">IF(ISERROR($V28),"",OFFSET('Smelter Look-up'!$C$4,$V28-4,0)&amp;"")</f>
        <v>Murrin Murrin Nickel Cobalt Plant</v>
      </c>
      <c r="S28" s="155" t="str">
        <f t="shared" ca="1" si="3"/>
        <v>AU</v>
      </c>
      <c r="T28" s="155" t="str">
        <f ca="1">IF(B28="","",IF(ISERROR(MATCH($J28,SorP!$B$1:$B$6226,0)),"",INDIRECT("'SorP'!$A$"&amp;MATCH($S28&amp;$J28,SorP!C:C,0))))</f>
        <v>AU-WA</v>
      </c>
      <c r="U28" s="168"/>
      <c r="V28" s="169">
        <f>IF(C28="",NA(),MATCH($B28&amp;$C28,'Smelter Look-up'!$J:$J,0))</f>
        <v>109</v>
      </c>
      <c r="X28" s="170">
        <f t="shared" si="4"/>
        <v>0</v>
      </c>
      <c r="AB28" s="314" t="str">
        <f t="shared" si="5"/>
        <v>Cobalt</v>
      </c>
    </row>
    <row r="29" spans="1:28" s="170" customFormat="1" ht="24" customHeight="1">
      <c r="A29" s="155" t="s">
        <v>77</v>
      </c>
      <c r="B29" s="304" t="s">
        <v>40</v>
      </c>
      <c r="C29" s="152" t="s">
        <v>19162</v>
      </c>
      <c r="D29" s="149" t="s">
        <v>19162</v>
      </c>
      <c r="E29" s="149" t="s">
        <v>76</v>
      </c>
      <c r="F29" s="149" t="s">
        <v>77</v>
      </c>
      <c r="G29" s="149" t="str">
        <f ca="1">IF(C29=$X$4,"Enter smelter details",IF(ISERROR($V29),"",OFFSET('Smelter Look-up'!$F$4,$V29-4,0)))</f>
        <v>RMI</v>
      </c>
      <c r="H29" s="206">
        <f ca="1">IF(ISERROR($V29),"",OFFSET('Smelter Look-up'!$G$4,$V29-4,0))</f>
        <v>0</v>
      </c>
      <c r="I29" s="207" t="str">
        <f ca="1">IF(ISERROR($V29),"",OFFSET('Smelter Look-up'!$H$4,$V29-4,0))</f>
        <v>Toufen</v>
      </c>
      <c r="J29" s="207" t="str">
        <f ca="1">IF(ISERROR($V29),"",OFFSET('Smelter Look-up'!$I$4,$V29-4,0))</f>
        <v>Miaoli</v>
      </c>
      <c r="K29" s="150"/>
      <c r="L29" s="150"/>
      <c r="M29" s="150"/>
      <c r="N29" s="150"/>
      <c r="O29" s="150"/>
      <c r="P29" s="209"/>
      <c r="Q29" s="151"/>
      <c r="R29" s="149" t="str">
        <f ca="1">IF(ISERROR($V29),"",OFFSET('Smelter Look-up'!$C$4,$V29-4,0)&amp;"")</f>
        <v>Uranus Chemicals</v>
      </c>
      <c r="S29" s="155" t="str">
        <f t="shared" ca="1" si="3"/>
        <v>TW</v>
      </c>
      <c r="T29" s="155" t="str">
        <f ca="1">IF(B29="","",IF(ISERROR(MATCH($J29,SorP!$B$1:$B$6226,0)),"",INDIRECT("'SorP'!$A$"&amp;MATCH($S29&amp;$J29,SorP!C:C,0))))</f>
        <v>TW-MIA</v>
      </c>
      <c r="U29" s="168"/>
      <c r="V29" s="169">
        <f>IF(C29="",NA(),MATCH($B29&amp;$C29,'Smelter Look-up'!$J:$J,0))</f>
        <v>154</v>
      </c>
      <c r="X29" s="170">
        <f t="shared" si="4"/>
        <v>0</v>
      </c>
      <c r="AB29" s="314" t="str">
        <f t="shared" si="5"/>
        <v>Cobalt</v>
      </c>
    </row>
    <row r="30" spans="1:28" s="170" customFormat="1" ht="24" customHeight="1">
      <c r="A30" s="155" t="s">
        <v>304</v>
      </c>
      <c r="B30" s="304" t="s">
        <v>40</v>
      </c>
      <c r="C30" s="152" t="s">
        <v>12066</v>
      </c>
      <c r="D30" s="149" t="s">
        <v>12066</v>
      </c>
      <c r="E30" s="149" t="s">
        <v>65</v>
      </c>
      <c r="F30" s="149" t="s">
        <v>304</v>
      </c>
      <c r="G30" s="149" t="str">
        <f ca="1">IF(C30=$X$4,"Enter smelter details",IF(ISERROR($V30),"",OFFSET('Smelter Look-up'!$F$4,$V30-4,0)))</f>
        <v>RMI</v>
      </c>
      <c r="H30" s="206">
        <f ca="1">IF(ISERROR($V30),"",OFFSET('Smelter Look-up'!$G$4,$V30-4,0))</f>
        <v>0</v>
      </c>
      <c r="I30" s="207" t="str">
        <f ca="1">IF(ISERROR($V30),"",OFFSET('Smelter Look-up'!$H$4,$V30-4,0))</f>
        <v>Shaoxing</v>
      </c>
      <c r="J30" s="207" t="str">
        <f ca="1">IF(ISERROR($V30),"",OFFSET('Smelter Look-up'!$I$4,$V30-4,0))</f>
        <v>Zhejiang Sheng</v>
      </c>
      <c r="K30" s="150"/>
      <c r="L30" s="150"/>
      <c r="M30" s="150"/>
      <c r="N30" s="150"/>
      <c r="O30" s="150"/>
      <c r="P30" s="209"/>
      <c r="Q30" s="151"/>
      <c r="R30" s="149" t="str">
        <f ca="1">IF(ISERROR($V30),"",OFFSET('Smelter Look-up'!$C$4,$V30-4,0)&amp;"")</f>
        <v>Zhejiang Greatpower Cobalt Materials Co., Ltd.</v>
      </c>
      <c r="S30" s="155" t="str">
        <f t="shared" ca="1" si="3"/>
        <v>CN</v>
      </c>
      <c r="T30" s="155" t="str">
        <f ca="1">IF(B30="","",IF(ISERROR(MATCH($J30,SorP!$B$1:$B$6226,0)),"",INDIRECT("'SorP'!$A$"&amp;MATCH($S30&amp;$J30,SorP!C:C,0))))</f>
        <v>CN-ZJ</v>
      </c>
      <c r="U30" s="168"/>
      <c r="V30" s="169">
        <f>IF(C30="",NA(),MATCH($B30&amp;$C30,'Smelter Look-up'!$J:$J,0))</f>
        <v>167</v>
      </c>
      <c r="X30" s="170">
        <f t="shared" si="4"/>
        <v>0</v>
      </c>
      <c r="AB30" s="314" t="str">
        <f t="shared" si="5"/>
        <v>Cobalt</v>
      </c>
    </row>
    <row r="31" spans="1:28" s="170" customFormat="1" ht="24" customHeight="1">
      <c r="A31" s="155" t="s">
        <v>212</v>
      </c>
      <c r="B31" s="304" t="s">
        <v>40</v>
      </c>
      <c r="C31" s="152" t="s">
        <v>211</v>
      </c>
      <c r="D31" s="149" t="s">
        <v>211</v>
      </c>
      <c r="E31" s="149" t="s">
        <v>76</v>
      </c>
      <c r="F31" s="149" t="s">
        <v>212</v>
      </c>
      <c r="G31" s="149" t="str">
        <f ca="1">IF(C31=$X$4,"Enter smelter details",IF(ISERROR($V31),"",OFFSET('Smelter Look-up'!$F$4,$V31-4,0)))</f>
        <v>RMI</v>
      </c>
      <c r="H31" s="206">
        <f ca="1">IF(ISERROR($V31),"",OFFSET('Smelter Look-up'!$G$4,$V31-4,0))</f>
        <v>0</v>
      </c>
      <c r="I31" s="207" t="str">
        <f ca="1">IF(ISERROR($V31),"",OFFSET('Smelter Look-up'!$H$4,$V31-4,0))</f>
        <v>Taoyuan</v>
      </c>
      <c r="J31" s="207" t="str">
        <f ca="1">IF(ISERROR($V31),"",OFFSET('Smelter Look-up'!$I$4,$V31-4,0))</f>
        <v>Taoyuan</v>
      </c>
      <c r="K31" s="150"/>
      <c r="L31" s="150"/>
      <c r="M31" s="150"/>
      <c r="N31" s="150"/>
      <c r="O31" s="150"/>
      <c r="P31" s="209"/>
      <c r="Q31" s="151"/>
      <c r="R31" s="149" t="str">
        <f ca="1">IF(ISERROR($V31),"",OFFSET('Smelter Look-up'!$C$4,$V31-4,0)&amp;"")</f>
        <v>Mechema Taiwan Plant 2</v>
      </c>
      <c r="S31" s="155" t="str">
        <f t="shared" ca="1" si="3"/>
        <v>TW</v>
      </c>
      <c r="T31" s="155" t="str">
        <f ca="1">IF(B31="","",IF(ISERROR(MATCH($J31,SorP!$B$1:$B$6226,0)),"",INDIRECT("'SorP'!$A$"&amp;MATCH($S31&amp;$J31,SorP!C:C,0))))</f>
        <v>TW-TAO</v>
      </c>
      <c r="U31" s="168"/>
      <c r="V31" s="169">
        <f>IF(C31="",NA(),MATCH($B31&amp;$C31,'Smelter Look-up'!$J:$J,0))</f>
        <v>100</v>
      </c>
      <c r="X31" s="170">
        <f t="shared" si="4"/>
        <v>0</v>
      </c>
      <c r="AB31" s="314" t="str">
        <f t="shared" si="5"/>
        <v>Cobalt</v>
      </c>
    </row>
    <row r="32" spans="1:28" s="170" customFormat="1" ht="24" customHeight="1">
      <c r="A32" s="155" t="s">
        <v>134</v>
      </c>
      <c r="B32" s="304" t="s">
        <v>40</v>
      </c>
      <c r="C32" s="152" t="s">
        <v>132</v>
      </c>
      <c r="D32" s="149" t="s">
        <v>132</v>
      </c>
      <c r="E32" s="149" t="s">
        <v>133</v>
      </c>
      <c r="F32" s="149" t="s">
        <v>134</v>
      </c>
      <c r="G32" s="149" t="str">
        <f ca="1">IF(C32=$X$4,"Enter smelter details",IF(ISERROR($V32),"",OFFSET('Smelter Look-up'!$F$4,$V32-4,0)))</f>
        <v>RMI</v>
      </c>
      <c r="H32" s="206">
        <f ca="1">IF(ISERROR($V32),"",OFFSET('Smelter Look-up'!$G$4,$V32-4,0))</f>
        <v>0</v>
      </c>
      <c r="I32" s="207" t="str">
        <f ca="1">IF(ISERROR($V32),"",OFFSET('Smelter Look-up'!$H$4,$V32-4,0))</f>
        <v>Kako-gun</v>
      </c>
      <c r="J32" s="207" t="str">
        <f ca="1">IF(ISERROR($V32),"",OFFSET('Smelter Look-up'!$I$4,$V32-4,0))</f>
        <v>Hyogo</v>
      </c>
      <c r="K32" s="150"/>
      <c r="L32" s="150"/>
      <c r="M32" s="150"/>
      <c r="N32" s="150"/>
      <c r="O32" s="150"/>
      <c r="P32" s="209"/>
      <c r="Q32" s="151"/>
      <c r="R32" s="149" t="str">
        <f ca="1">IF(ISERROR($V32),"",OFFSET('Smelter Look-up'!$C$4,$V32-4,0)&amp;"")</f>
        <v>Harima Refinery, Sumitomo Metal Mining</v>
      </c>
      <c r="S32" s="155" t="str">
        <f t="shared" ca="1" si="3"/>
        <v>JP</v>
      </c>
      <c r="T32" s="155" t="str">
        <f ca="1">IF(B32="","",IF(ISERROR(MATCH($J32,SorP!$B$1:$B$6226,0)),"",INDIRECT("'SorP'!$A$"&amp;MATCH($S32&amp;$J32,SorP!C:C,0))))</f>
        <v>JP-28</v>
      </c>
      <c r="U32" s="168"/>
      <c r="V32" s="169">
        <f>IF(C32="",NA(),MATCH($B32&amp;$C32,'Smelter Look-up'!$J:$J,0))</f>
        <v>46</v>
      </c>
      <c r="X32" s="170">
        <f t="shared" si="4"/>
        <v>0</v>
      </c>
      <c r="AB32" s="314" t="str">
        <f t="shared" si="5"/>
        <v>Cobalt</v>
      </c>
    </row>
    <row r="33" spans="1:28" s="170" customFormat="1" ht="24" customHeight="1">
      <c r="A33" s="155" t="s">
        <v>128</v>
      </c>
      <c r="B33" s="304" t="s">
        <v>40</v>
      </c>
      <c r="C33" s="152" t="s">
        <v>127</v>
      </c>
      <c r="D33" s="149" t="s">
        <v>127</v>
      </c>
      <c r="E33" s="149" t="s">
        <v>65</v>
      </c>
      <c r="F33" s="149" t="s">
        <v>128</v>
      </c>
      <c r="G33" s="149" t="str">
        <f ca="1">IF(C33=$X$4,"Enter smelter details",IF(ISERROR($V33),"",OFFSET('Smelter Look-up'!$F$4,$V33-4,0)))</f>
        <v>RMI</v>
      </c>
      <c r="H33" s="206">
        <f ca="1">IF(ISERROR($V33),"",OFFSET('Smelter Look-up'!$G$4,$V33-4,0))</f>
        <v>0</v>
      </c>
      <c r="I33" s="207" t="str">
        <f ca="1">IF(ISERROR($V33),"",OFFSET('Smelter Look-up'!$H$4,$V33-4,0))</f>
        <v>Tongren</v>
      </c>
      <c r="J33" s="207" t="str">
        <f ca="1">IF(ISERROR($V33),"",OFFSET('Smelter Look-up'!$I$4,$V33-4,0))</f>
        <v>Guizhou Sheng</v>
      </c>
      <c r="K33" s="150"/>
      <c r="L33" s="150"/>
      <c r="M33" s="150"/>
      <c r="N33" s="150"/>
      <c r="O33" s="150"/>
      <c r="P33" s="209"/>
      <c r="Q33" s="151"/>
      <c r="R33" s="149" t="str">
        <f ca="1">IF(ISERROR($V33),"",OFFSET('Smelter Look-up'!$C$4,$V33-4,0)&amp;"")</f>
        <v>Guizhou CNGR Resource Recycling Industry Development Co., Ltd.</v>
      </c>
      <c r="S33" s="155" t="str">
        <f t="shared" ca="1" si="3"/>
        <v>CN</v>
      </c>
      <c r="T33" s="155" t="str">
        <f ca="1">IF(B33="","",IF(ISERROR(MATCH($J33,SorP!$B$1:$B$6226,0)),"",INDIRECT("'SorP'!$A$"&amp;MATCH($S33&amp;$J33,SorP!C:C,0))))</f>
        <v>CN-GZ</v>
      </c>
      <c r="U33" s="168"/>
      <c r="V33" s="169">
        <f>IF(C33="",NA(),MATCH($B33&amp;$C33,'Smelter Look-up'!$J:$J,0))</f>
        <v>43</v>
      </c>
      <c r="X33" s="170">
        <f t="shared" si="4"/>
        <v>0</v>
      </c>
      <c r="AB33" s="314" t="str">
        <f t="shared" si="5"/>
        <v>Cobalt</v>
      </c>
    </row>
    <row r="34" spans="1:28" s="170" customFormat="1" ht="24" customHeight="1">
      <c r="A34" s="155" t="s">
        <v>12044</v>
      </c>
      <c r="B34" s="304" t="s">
        <v>40</v>
      </c>
      <c r="C34" s="152" t="s">
        <v>20060</v>
      </c>
      <c r="D34" s="149" t="s">
        <v>20060</v>
      </c>
      <c r="E34" s="149" t="s">
        <v>65</v>
      </c>
      <c r="F34" s="149" t="s">
        <v>12044</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CN</v>
      </c>
      <c r="T34" s="155" t="str">
        <f ca="1">IF(B34="","",IF(ISERROR(MATCH($J34,SorP!$B$1:$B$6226,0)),"",INDIRECT("'SorP'!$A$"&amp;MATCH($S34&amp;$J34,SorP!C:C,0))))</f>
        <v/>
      </c>
      <c r="U34" s="168"/>
      <c r="V34" s="169" t="e">
        <f>IF(C34="",NA(),MATCH($B34&amp;$C34,'Smelter Look-up'!$J:$J,0))</f>
        <v>#N/A</v>
      </c>
      <c r="X34" s="170">
        <f t="shared" si="4"/>
        <v>0</v>
      </c>
      <c r="AB34" s="314" t="str">
        <f t="shared" si="5"/>
        <v>Cobalt</v>
      </c>
    </row>
    <row r="35" spans="1:28" s="170" customFormat="1" ht="24" customHeight="1">
      <c r="A35" s="155" t="s">
        <v>12051</v>
      </c>
      <c r="B35" s="304" t="s">
        <v>40</v>
      </c>
      <c r="C35" s="152" t="s">
        <v>12052</v>
      </c>
      <c r="D35" s="149" t="s">
        <v>12052</v>
      </c>
      <c r="E35" s="149" t="s">
        <v>65</v>
      </c>
      <c r="F35" s="149" t="s">
        <v>12051</v>
      </c>
      <c r="G35" s="149" t="str">
        <f ca="1">IF(C35=$X$4,"Enter smelter details",IF(ISERROR($V35),"",OFFSET('Smelter Look-up'!$F$4,$V35-4,0)))</f>
        <v>RMI</v>
      </c>
      <c r="H35" s="206">
        <f ca="1">IF(ISERROR($V35),"",OFFSET('Smelter Look-up'!$G$4,$V35-4,0))</f>
        <v>0</v>
      </c>
      <c r="I35" s="207" t="str">
        <f ca="1">IF(ISERROR($V35),"",OFFSET('Smelter Look-up'!$H$4,$V35-4,0))</f>
        <v>Ganzhou City</v>
      </c>
      <c r="J35" s="207" t="str">
        <f ca="1">IF(ISERROR($V35),"",OFFSET('Smelter Look-up'!$I$4,$V35-4,0))</f>
        <v>Jiangxi Sheng</v>
      </c>
      <c r="K35" s="150"/>
      <c r="L35" s="150"/>
      <c r="M35" s="150"/>
      <c r="N35" s="150"/>
      <c r="O35" s="150"/>
      <c r="P35" s="209"/>
      <c r="Q35" s="151"/>
      <c r="R35" s="149" t="str">
        <f ca="1">IF(ISERROR($V35),"",OFFSET('Smelter Look-up'!$C$4,$V35-4,0)&amp;"")</f>
        <v>Jiangxi Miracle Golden Tiger Cobalt Co. Ltd.</v>
      </c>
      <c r="S35" s="155" t="str">
        <f t="shared" ca="1" si="3"/>
        <v>CN</v>
      </c>
      <c r="T35" s="155" t="str">
        <f ca="1">IF(B35="","",IF(ISERROR(MATCH($J35,SorP!$B$1:$B$6226,0)),"",INDIRECT("'SorP'!$A$"&amp;MATCH($S35&amp;$J35,SorP!C:C,0))))</f>
        <v>CN-JX</v>
      </c>
      <c r="U35" s="168"/>
      <c r="V35" s="169">
        <f>IF(C35="",NA(),MATCH($B35&amp;$C35,'Smelter Look-up'!$J:$J,0))</f>
        <v>70</v>
      </c>
      <c r="X35" s="170">
        <f t="shared" si="4"/>
        <v>0</v>
      </c>
      <c r="AB35" s="314" t="str">
        <f t="shared" si="5"/>
        <v>Cobalt</v>
      </c>
    </row>
    <row r="36" spans="1:28" s="170" customFormat="1" ht="24" customHeight="1">
      <c r="A36" s="155" t="s">
        <v>12196</v>
      </c>
      <c r="B36" s="304" t="s">
        <v>40</v>
      </c>
      <c r="C36" s="152" t="s">
        <v>12195</v>
      </c>
      <c r="D36" s="149" t="s">
        <v>12195</v>
      </c>
      <c r="E36" s="149" t="s">
        <v>1746</v>
      </c>
      <c r="F36" s="149" t="s">
        <v>12196</v>
      </c>
      <c r="G36" s="149" t="str">
        <f ca="1">IF(C36=$X$4,"Enter smelter details",IF(ISERROR($V36),"",OFFSET('Smelter Look-up'!$F$4,$V36-4,0)))</f>
        <v>RMI</v>
      </c>
      <c r="H36" s="206">
        <f ca="1">IF(ISERROR($V36),"",OFFSET('Smelter Look-up'!$G$4,$V36-4,0))</f>
        <v>0</v>
      </c>
      <c r="I36" s="207" t="str">
        <f ca="1">IF(ISERROR($V36),"",OFFSET('Smelter Look-up'!$H$4,$V36-4,0))</f>
        <v>Mardin</v>
      </c>
      <c r="J36" s="207" t="str">
        <f ca="1">IF(ISERROR($V36),"",OFFSET('Smelter Look-up'!$I$4,$V36-4,0))</f>
        <v>Mardin</v>
      </c>
      <c r="K36" s="150"/>
      <c r="L36" s="150"/>
      <c r="M36" s="150"/>
      <c r="N36" s="150"/>
      <c r="O36" s="150"/>
      <c r="P36" s="209"/>
      <c r="Q36" s="151"/>
      <c r="R36" s="149" t="str">
        <f ca="1">IF(ISERROR($V36),"",OFFSET('Smelter Look-up'!$C$4,$V36-4,0)&amp;"")</f>
        <v>Eti Bakir A.S</v>
      </c>
      <c r="S36" s="155" t="str">
        <f t="shared" ca="1" si="3"/>
        <v>TR</v>
      </c>
      <c r="T36" s="155" t="str">
        <f ca="1">IF(B36="","",IF(ISERROR(MATCH($J36,SorP!$B$1:$B$6226,0)),"",INDIRECT("'SorP'!$A$"&amp;MATCH($S36&amp;$J36,SorP!C:C,0))))</f>
        <v>TR-47</v>
      </c>
      <c r="U36" s="168"/>
      <c r="V36" s="169">
        <f>IF(C36="",NA(),MATCH($B36&amp;$C36,'Smelter Look-up'!$J:$J,0))</f>
        <v>23</v>
      </c>
      <c r="X36" s="170">
        <f t="shared" si="4"/>
        <v>0</v>
      </c>
      <c r="AB36" s="314" t="str">
        <f t="shared" si="5"/>
        <v>Cobalt</v>
      </c>
    </row>
    <row r="37" spans="1:28" s="170" customFormat="1" ht="24" customHeight="1">
      <c r="A37" s="155" t="s">
        <v>12203</v>
      </c>
      <c r="B37" s="304" t="s">
        <v>40</v>
      </c>
      <c r="C37" s="152" t="s">
        <v>12267</v>
      </c>
      <c r="D37" s="149" t="s">
        <v>12267</v>
      </c>
      <c r="E37" s="149" t="s">
        <v>76</v>
      </c>
      <c r="F37" s="149" t="s">
        <v>12203</v>
      </c>
      <c r="G37" s="149" t="str">
        <f ca="1">IF(C37=$X$4,"Enter smelter details",IF(ISERROR($V37),"",OFFSET('Smelter Look-up'!$F$4,$V37-4,0)))</f>
        <v>RMI</v>
      </c>
      <c r="H37" s="206">
        <f ca="1">IF(ISERROR($V37),"",OFFSET('Smelter Look-up'!$G$4,$V37-4,0))</f>
        <v>0</v>
      </c>
      <c r="I37" s="207" t="str">
        <f ca="1">IF(ISERROR($V37),"",OFFSET('Smelter Look-up'!$H$4,$V37-4,0))</f>
        <v>Wujie</v>
      </c>
      <c r="J37" s="207" t="str">
        <f ca="1">IF(ISERROR($V37),"",OFFSET('Smelter Look-up'!$I$4,$V37-4,0))</f>
        <v>Yilan</v>
      </c>
      <c r="K37" s="150"/>
      <c r="L37" s="150"/>
      <c r="M37" s="150"/>
      <c r="N37" s="150"/>
      <c r="O37" s="150"/>
      <c r="P37" s="209"/>
      <c r="Q37" s="151"/>
      <c r="R37" s="149" t="str">
        <f ca="1">IF(ISERROR($V37),"",OFFSET('Smelter Look-up'!$C$4,$V37-4,0)&amp;"")</f>
        <v>Lianyou Resources Co., Ltd.</v>
      </c>
      <c r="S37" s="155" t="str">
        <f t="shared" ca="1" si="3"/>
        <v>TW</v>
      </c>
      <c r="T37" s="155" t="str">
        <f ca="1">IF(B37="","",IF(ISERROR(MATCH($J37,SorP!$B$1:$B$6226,0)),"",INDIRECT("'SorP'!$A$"&amp;MATCH($S37&amp;$J37,SorP!C:C,0))))</f>
        <v>TW-ILA</v>
      </c>
      <c r="U37" s="168"/>
      <c r="V37" s="169">
        <f>IF(C37="",NA(),MATCH($B37&amp;$C37,'Smelter Look-up'!$J:$J,0))</f>
        <v>89</v>
      </c>
      <c r="X37" s="170">
        <f t="shared" si="4"/>
        <v>0</v>
      </c>
      <c r="AB37" s="314" t="str">
        <f t="shared" si="5"/>
        <v>Cobalt</v>
      </c>
    </row>
    <row r="38" spans="1:28" s="170" customFormat="1" ht="24" customHeight="1">
      <c r="A38" s="155" t="s">
        <v>358</v>
      </c>
      <c r="B38" s="304" t="s">
        <v>41</v>
      </c>
      <c r="C38" s="152" t="s">
        <v>357</v>
      </c>
      <c r="D38" s="149" t="s">
        <v>357</v>
      </c>
      <c r="E38" s="149" t="s">
        <v>133</v>
      </c>
      <c r="F38" s="149" t="s">
        <v>358</v>
      </c>
      <c r="G38" s="149" t="str">
        <f ca="1">IF(C38=$X$4,"Enter smelter details",IF(ISERROR($V38),"",OFFSET('Smelter Look-up'!$F$4,$V38-4,0)))</f>
        <v>RMI</v>
      </c>
      <c r="H38" s="206">
        <f ca="1">IF(ISERROR($V38),"",OFFSET('Smelter Look-up'!$G$4,$V38-4,0))</f>
        <v>0</v>
      </c>
      <c r="I38" s="207" t="str">
        <f ca="1">IF(ISERROR($V38),"",OFFSET('Smelter Look-up'!$H$4,$V38-4,0))</f>
        <v>Toyokawa</v>
      </c>
      <c r="J38" s="207" t="str">
        <f ca="1">IF(ISERROR($V38),"",OFFSET('Smelter Look-up'!$I$4,$V38-4,0))</f>
        <v>Aichi</v>
      </c>
      <c r="K38" s="150"/>
      <c r="L38" s="150"/>
      <c r="M38" s="150"/>
      <c r="N38" s="150"/>
      <c r="O38" s="150"/>
      <c r="P38" s="209"/>
      <c r="Q38" s="151"/>
      <c r="R38" s="149" t="str">
        <f ca="1">IF(ISERROR($V38),"",OFFSET('Smelter Look-up'!$C$4,$V38-4,0)&amp;"")</f>
        <v>Yamaguchi Mica</v>
      </c>
      <c r="S38" s="155" t="str">
        <f t="shared" ca="1" si="3"/>
        <v>JP</v>
      </c>
      <c r="T38" s="155" t="str">
        <f ca="1">IF(B38="","",IF(ISERROR(MATCH($J38,SorP!$B$1:$B$6226,0)),"",INDIRECT("'SorP'!$A$"&amp;MATCH($S38&amp;$J38,SorP!C:C,0))))</f>
        <v>JP-23</v>
      </c>
      <c r="U38" s="168"/>
      <c r="V38" s="169">
        <f>IF(C38="",NA(),MATCH($B38&amp;$C38,'Smelter Look-up'!$J:$J,0))</f>
        <v>374</v>
      </c>
      <c r="X38" s="170">
        <f t="shared" si="4"/>
        <v>0</v>
      </c>
      <c r="AB38" s="314" t="str">
        <f t="shared" si="5"/>
        <v>Mica</v>
      </c>
    </row>
    <row r="39" spans="1:28" s="170" customFormat="1" ht="20.25">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25">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25">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25">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25">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25">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25">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25">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25">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25">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25">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25">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25">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25">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25">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25">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25">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25">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25">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25">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25">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25">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25">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25">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25">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25">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25">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25">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25">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25">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25">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dataValidation type="list" allowBlank="1" showInputMessage="1" showErrorMessage="1" sqref="E5:E2504">
      <formula1>CL</formula1>
    </dataValidation>
    <dataValidation type="list" allowBlank="1" showInputMessage="1" showErrorMessage="1" sqref="P5:P2504">
      <formula1>$AH$2:$AH$4</formula1>
    </dataValidation>
    <dataValidation type="list" showInputMessage="1" showErrorMessage="1" sqref="C5:C2504">
      <formula1>SN</formula1>
    </dataValidation>
    <dataValidation type="list" allowBlank="1" showInputMessage="1" showErrorMessage="1" sqref="B5:B2504">
      <formula1>SmelterdropX</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8" t="str">
        <f ca="1">OFFSET(L!$C$1,MATCH("Checker"&amp;ADDRESS(ROW(),COLUMN(),4),L!$A:$A,0)-1,SL,,)</f>
        <v>Required fields remaining to be completed</v>
      </c>
      <c r="E1" s="16" t="s">
        <v>18</v>
      </c>
    </row>
    <row r="2" spans="1:10" ht="15.75">
      <c r="A2" s="58" t="s">
        <v>47</v>
      </c>
      <c r="B2" s="59" t="str">
        <f>IF(F114=1,"Click here to return to Smelter List","")</f>
        <v>Click here to return to Smelter List</v>
      </c>
      <c r="C2" s="111" t="str">
        <f>IF(F112=1,"Click here to return to Product List","")</f>
        <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Basler Electric</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2.15" customHeight="1">
      <c r="A6" s="80" t="str">
        <f ca="1">Declaration!B10</f>
        <v>Description of Scope:</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2.1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2.15" customHeight="1">
      <c r="A8" s="80">
        <f>Declaration!B14</f>
        <v>0</v>
      </c>
      <c r="B8" s="79"/>
      <c r="C8" s="79"/>
      <c r="D8" s="85"/>
      <c r="E8" s="16"/>
      <c r="F8" s="83"/>
      <c r="G8" s="62"/>
      <c r="H8" s="63"/>
      <c r="I8" s="131"/>
    </row>
    <row r="9" spans="1:10" ht="39">
      <c r="A9" s="135" t="str">
        <f ca="1">Declaration!B19</f>
        <v>Contact Name (*):</v>
      </c>
      <c r="B9" s="356" t="str">
        <f>Declaration!D19</f>
        <v>John Mollett</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johnmollett@basler.com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618-654-2341 x412</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John Mollett</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johnmollett@basler.com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2.15" customHeight="1">
      <c r="A14" s="80"/>
      <c r="B14" s="79"/>
      <c r="C14" s="79"/>
      <c r="D14" s="85"/>
      <c r="E14" s="16" t="s">
        <v>15</v>
      </c>
      <c r="F14" s="83"/>
      <c r="G14" s="62"/>
      <c r="H14" s="63">
        <f>F14*G14</f>
        <v>0</v>
      </c>
      <c r="I14" s="131"/>
    </row>
    <row r="15" spans="1:10" ht="39">
      <c r="A15" s="80" t="str">
        <f ca="1">Declaration!B26</f>
        <v>Effective Date (*):</v>
      </c>
      <c r="B15" s="81">
        <f>Declaration!D26</f>
        <v>45838</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5.1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5.15" customHeight="1">
      <c r="A17" s="80" t="str">
        <f>Declaration!B30</f>
        <v>Cobalt(*)</v>
      </c>
      <c r="B17" s="79" t="str">
        <f>Declaration!D30</f>
        <v>Yes</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5.15" customHeight="1">
      <c r="A18" s="80" t="str">
        <f>Declaration!B31</f>
        <v>Mica(*)</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5.15" customHeight="1">
      <c r="A19" s="80" t="str">
        <f>Declaration!B32</f>
        <v/>
      </c>
      <c r="B19" s="79">
        <f>Declaration!D32</f>
        <v>0</v>
      </c>
      <c r="C19" s="79" t="str">
        <f t="shared" ca="1" si="3"/>
        <v>Complete</v>
      </c>
      <c r="D19" s="316" t="str">
        <f t="shared" ref="D19:D22" si="8">IF(H19=1,"Click here to answer question 1 for specified mineral","")</f>
        <v/>
      </c>
      <c r="E19" s="16" t="s">
        <v>15</v>
      </c>
      <c r="F19" s="323">
        <f t="shared" si="5"/>
        <v>0</v>
      </c>
      <c r="G19" s="62">
        <f t="shared" si="6"/>
        <v>1</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5.15" customHeight="1">
      <c r="A20" s="80" t="str">
        <f>Declaration!B33</f>
        <v/>
      </c>
      <c r="B20" s="79">
        <f>Declaration!D33</f>
        <v>0</v>
      </c>
      <c r="C20" s="79" t="str">
        <f t="shared" ca="1" si="3"/>
        <v>Complete</v>
      </c>
      <c r="D20" s="316" t="str">
        <f t="shared" si="8"/>
        <v/>
      </c>
      <c r="E20" s="16" t="s">
        <v>15</v>
      </c>
      <c r="F20" s="323">
        <f t="shared" si="5"/>
        <v>0</v>
      </c>
      <c r="G20" s="62">
        <f t="shared" si="6"/>
        <v>1</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5.15" customHeight="1">
      <c r="A21" s="80" t="str">
        <f>Declaration!B34</f>
        <v/>
      </c>
      <c r="B21" s="79">
        <f>Declaration!D34</f>
        <v>0</v>
      </c>
      <c r="C21" s="79" t="str">
        <f t="shared" ca="1" si="3"/>
        <v>Complete</v>
      </c>
      <c r="D21" s="316" t="str">
        <f t="shared" si="8"/>
        <v/>
      </c>
      <c r="E21" s="16"/>
      <c r="F21" s="323">
        <f t="shared" si="5"/>
        <v>0</v>
      </c>
      <c r="G21" s="62">
        <f t="shared" si="6"/>
        <v>1</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5.15" customHeight="1">
      <c r="A22" s="80" t="str">
        <f>Declaration!B35</f>
        <v/>
      </c>
      <c r="B22" s="79">
        <f>Declaration!D35</f>
        <v>0</v>
      </c>
      <c r="C22" s="79" t="str">
        <f t="shared" ca="1" si="3"/>
        <v>Complete</v>
      </c>
      <c r="D22" s="316" t="str">
        <f t="shared" si="8"/>
        <v/>
      </c>
      <c r="E22" s="16"/>
      <c r="F22" s="323">
        <f t="shared" si="5"/>
        <v>0</v>
      </c>
      <c r="G22" s="62">
        <f t="shared" si="6"/>
        <v>1</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2.15" hidden="1" customHeight="1">
      <c r="A23" s="80" t="str">
        <f>Declaration!B36</f>
        <v/>
      </c>
      <c r="B23" s="79">
        <f>Declaration!D36</f>
        <v>0</v>
      </c>
      <c r="C23" s="79">
        <f t="shared" si="3"/>
        <v>0</v>
      </c>
      <c r="D23" s="85"/>
      <c r="E23" s="16"/>
      <c r="F23" s="323"/>
      <c r="G23" s="62"/>
      <c r="H23" s="63"/>
      <c r="I23" s="131"/>
      <c r="J23" s="132"/>
    </row>
    <row r="24" spans="1:10" ht="22.15" hidden="1" customHeight="1">
      <c r="A24" s="80" t="str">
        <f>Declaration!B37</f>
        <v/>
      </c>
      <c r="B24" s="79">
        <f>Declaration!D37</f>
        <v>0</v>
      </c>
      <c r="C24" s="79">
        <f t="shared" si="3"/>
        <v>0</v>
      </c>
      <c r="D24" s="85"/>
      <c r="E24" s="16"/>
      <c r="F24" s="323"/>
      <c r="G24" s="62"/>
      <c r="H24" s="63"/>
      <c r="I24" s="131"/>
      <c r="J24" s="132"/>
    </row>
    <row r="25" spans="1:10" ht="22.15" hidden="1" customHeight="1">
      <c r="A25" s="80" t="str">
        <f>Declaration!B38</f>
        <v/>
      </c>
      <c r="B25" s="79">
        <f>Declaration!D38</f>
        <v>0</v>
      </c>
      <c r="C25" s="79">
        <f t="shared" si="3"/>
        <v>0</v>
      </c>
      <c r="D25" s="85"/>
      <c r="E25" s="16"/>
      <c r="F25" s="323"/>
      <c r="G25" s="62"/>
      <c r="H25" s="63"/>
      <c r="I25" s="131"/>
      <c r="J25" s="132"/>
    </row>
    <row r="26" spans="1:10" ht="22.15" hidden="1" customHeight="1">
      <c r="A26" s="80" t="str">
        <f>Declaration!B39</f>
        <v/>
      </c>
      <c r="B26" s="79">
        <f>Declaration!D39</f>
        <v>0</v>
      </c>
      <c r="C26" s="79">
        <f t="shared" si="3"/>
        <v>0</v>
      </c>
      <c r="D26" s="85"/>
      <c r="E26" s="16"/>
      <c r="F26" s="323"/>
      <c r="G26" s="62"/>
      <c r="H26" s="63"/>
      <c r="I26" s="131"/>
      <c r="J26" s="132"/>
    </row>
    <row r="27" spans="1:10" ht="25.1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t="str">
        <f>Declaration!D42</f>
        <v>Yes</v>
      </c>
      <c r="C28" s="136" t="str">
        <f t="shared" ref="C28:C37" ca="1" si="9">IF(H28=1,J28,I28)</f>
        <v>Complete</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Mica(*)</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
      </c>
      <c r="B33" s="79">
        <f>Declaration!D47</f>
        <v>0</v>
      </c>
      <c r="C33" s="136" t="str">
        <f t="shared" ca="1" si="9"/>
        <v>Complete</v>
      </c>
      <c r="D33" s="316" t="str">
        <f t="shared" si="10"/>
        <v/>
      </c>
      <c r="E33" s="16"/>
      <c r="F33" s="84">
        <f t="shared" si="11"/>
        <v>0</v>
      </c>
      <c r="G33" s="62">
        <f t="shared" si="12"/>
        <v>1</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15" hidden="1" customHeight="1">
      <c r="A34" s="80" t="str">
        <f>Declaration!B48</f>
        <v/>
      </c>
      <c r="B34" s="79">
        <f>Declaration!D48</f>
        <v>0</v>
      </c>
      <c r="C34" s="136">
        <f t="shared" si="9"/>
        <v>0</v>
      </c>
      <c r="D34" s="229"/>
      <c r="E34" s="16"/>
      <c r="F34" s="84"/>
      <c r="G34" s="62"/>
      <c r="H34" s="63"/>
      <c r="I34" s="131"/>
    </row>
    <row r="35" spans="1:10" ht="22.15" hidden="1" customHeight="1">
      <c r="A35" s="80" t="str">
        <f>Declaration!B49</f>
        <v/>
      </c>
      <c r="B35" s="79">
        <f>Declaration!D49</f>
        <v>0</v>
      </c>
      <c r="C35" s="136">
        <f t="shared" si="9"/>
        <v>0</v>
      </c>
      <c r="D35" s="229"/>
      <c r="E35" s="16"/>
      <c r="F35" s="84"/>
      <c r="G35" s="62"/>
      <c r="H35" s="63"/>
      <c r="I35" s="131"/>
    </row>
    <row r="36" spans="1:10" ht="22.15" hidden="1" customHeight="1">
      <c r="A36" s="80" t="str">
        <f>Declaration!B50</f>
        <v/>
      </c>
      <c r="B36" s="79">
        <f>Declaration!D50</f>
        <v>0</v>
      </c>
      <c r="C36" s="136">
        <f t="shared" si="9"/>
        <v>0</v>
      </c>
      <c r="D36" s="229"/>
      <c r="E36" s="16"/>
      <c r="F36" s="84"/>
      <c r="G36" s="62"/>
      <c r="H36" s="63"/>
      <c r="I36" s="131"/>
    </row>
    <row r="37" spans="1:10" ht="22.15" hidden="1" customHeight="1">
      <c r="A37" s="80" t="str">
        <f>Declaration!B51</f>
        <v/>
      </c>
      <c r="B37" s="79">
        <f>Declaration!D51</f>
        <v>0</v>
      </c>
      <c r="C37" s="136">
        <f t="shared" si="9"/>
        <v>0</v>
      </c>
      <c r="D37" s="229"/>
      <c r="E37" s="16"/>
      <c r="F37" s="84"/>
      <c r="G37" s="62"/>
      <c r="H37" s="63"/>
      <c r="I37" s="131"/>
    </row>
    <row r="38" spans="1:10" ht="25.1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t="str">
        <f>Declaration!D54</f>
        <v>Yes</v>
      </c>
      <c r="C39" s="136" t="str">
        <f t="shared" ca="1" si="3"/>
        <v>Complete</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Mica(*)</v>
      </c>
      <c r="B40" s="79" t="str">
        <f>Declaration!D55</f>
        <v>No</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
      </c>
      <c r="B44" s="79">
        <f>Declaration!D59</f>
        <v>0</v>
      </c>
      <c r="C44" s="136" t="str">
        <f t="shared" ca="1" si="3"/>
        <v>Complete</v>
      </c>
      <c r="D44" s="318" t="str">
        <f t="shared" si="16"/>
        <v/>
      </c>
      <c r="E44" s="16"/>
      <c r="F44" s="84">
        <f t="shared" si="17"/>
        <v>0</v>
      </c>
      <c r="G44" s="62">
        <f t="shared" si="18"/>
        <v>1</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15" hidden="1" customHeight="1">
      <c r="A45" s="80" t="str">
        <f>Declaration!B60</f>
        <v/>
      </c>
      <c r="B45" s="79">
        <f>Declaration!D60</f>
        <v>0</v>
      </c>
      <c r="C45" s="136">
        <f t="shared" si="3"/>
        <v>0</v>
      </c>
      <c r="D45" s="229"/>
      <c r="E45" s="16"/>
      <c r="F45" s="84"/>
      <c r="G45" s="62"/>
      <c r="H45" s="63"/>
      <c r="I45" s="131"/>
    </row>
    <row r="46" spans="1:10" ht="22.15" hidden="1" customHeight="1">
      <c r="A46" s="80" t="str">
        <f>Declaration!B61</f>
        <v/>
      </c>
      <c r="B46" s="79">
        <f>Declaration!D61</f>
        <v>0</v>
      </c>
      <c r="C46" s="136">
        <f t="shared" si="3"/>
        <v>0</v>
      </c>
      <c r="D46" s="229"/>
      <c r="E46" s="16"/>
      <c r="F46" s="84"/>
      <c r="G46" s="62"/>
      <c r="H46" s="63"/>
      <c r="I46" s="131"/>
    </row>
    <row r="47" spans="1:10" ht="22.15" hidden="1" customHeight="1">
      <c r="A47" s="80" t="str">
        <f>Declaration!B62</f>
        <v/>
      </c>
      <c r="B47" s="79">
        <f>Declaration!D62</f>
        <v>0</v>
      </c>
      <c r="C47" s="136">
        <f t="shared" si="3"/>
        <v>0</v>
      </c>
      <c r="D47" s="229"/>
      <c r="E47" s="16"/>
      <c r="F47" s="84"/>
      <c r="G47" s="62"/>
      <c r="H47" s="63"/>
      <c r="I47" s="131"/>
    </row>
    <row r="48" spans="1:10" ht="22.15" hidden="1" customHeight="1">
      <c r="A48" s="80" t="str">
        <f>Declaration!B63</f>
        <v/>
      </c>
      <c r="B48" s="79">
        <f>Declaration!D63</f>
        <v>0</v>
      </c>
      <c r="C48" s="136">
        <f t="shared" si="3"/>
        <v>0</v>
      </c>
      <c r="D48" s="87"/>
      <c r="E48" s="16" t="s">
        <v>15</v>
      </c>
      <c r="F48" s="84"/>
      <c r="G48" s="62"/>
      <c r="H48" s="63"/>
      <c r="I48" s="131"/>
    </row>
    <row r="49" spans="1:10" ht="25.1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t="str">
        <f>Declaration!D66</f>
        <v>No</v>
      </c>
      <c r="C50" s="136" t="str">
        <f ca="1">IF(H50=1,J50,I50)</f>
        <v>Complete</v>
      </c>
      <c r="D50" s="318"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Mica(*)</v>
      </c>
      <c r="B51" s="79" t="str">
        <f>Declaration!D67</f>
        <v>No</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
      </c>
      <c r="B55" s="79">
        <f>Declaration!D71</f>
        <v>0</v>
      </c>
      <c r="C55" s="136" t="str">
        <f t="shared" ca="1" si="20"/>
        <v>Complete</v>
      </c>
      <c r="D55" s="318" t="str">
        <f t="shared" si="21"/>
        <v/>
      </c>
      <c r="E55" s="16"/>
      <c r="F55" s="84">
        <f t="shared" si="22"/>
        <v>0</v>
      </c>
      <c r="G55" s="62">
        <f t="shared" si="23"/>
        <v>1</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2.15" hidden="1" customHeight="1">
      <c r="A56" s="80" t="str">
        <f>Declaration!B72</f>
        <v/>
      </c>
      <c r="B56" s="79">
        <f>Declaration!D72</f>
        <v>0</v>
      </c>
      <c r="C56" s="136">
        <f t="shared" si="20"/>
        <v>0</v>
      </c>
      <c r="D56" s="193"/>
      <c r="E56" s="16"/>
      <c r="F56" s="84"/>
      <c r="G56" s="62"/>
      <c r="H56" s="63"/>
      <c r="I56" s="131"/>
      <c r="J56" s="132"/>
    </row>
    <row r="57" spans="1:10" ht="22.15" hidden="1" customHeight="1">
      <c r="A57" s="80" t="str">
        <f>Declaration!B73</f>
        <v/>
      </c>
      <c r="B57" s="79">
        <f>Declaration!D73</f>
        <v>0</v>
      </c>
      <c r="C57" s="136">
        <f t="shared" si="20"/>
        <v>0</v>
      </c>
      <c r="D57" s="87"/>
      <c r="E57" s="16" t="s">
        <v>15</v>
      </c>
      <c r="F57" s="84"/>
      <c r="G57" s="62"/>
      <c r="H57" s="63"/>
      <c r="I57" s="131"/>
      <c r="J57" s="132"/>
    </row>
    <row r="58" spans="1:10" ht="22.15" hidden="1" customHeight="1">
      <c r="A58" s="80" t="str">
        <f>Declaration!B74</f>
        <v/>
      </c>
      <c r="B58" s="79">
        <f>Declaration!D74</f>
        <v>0</v>
      </c>
      <c r="C58" s="136">
        <f t="shared" si="20"/>
        <v>0</v>
      </c>
      <c r="D58" s="87"/>
      <c r="E58" s="16" t="s">
        <v>15</v>
      </c>
      <c r="F58" s="84"/>
      <c r="G58" s="62"/>
      <c r="H58" s="63"/>
      <c r="I58" s="131"/>
      <c r="J58" s="132"/>
    </row>
    <row r="59" spans="1:10" ht="22.15" hidden="1" customHeight="1">
      <c r="A59" s="80" t="str">
        <f>Declaration!B75</f>
        <v/>
      </c>
      <c r="B59" s="79">
        <f>Declaration!D75</f>
        <v>0</v>
      </c>
      <c r="C59" s="136">
        <f t="shared" si="20"/>
        <v>0</v>
      </c>
      <c r="D59" s="87"/>
      <c r="E59" s="16" t="s">
        <v>15</v>
      </c>
      <c r="F59" s="84"/>
      <c r="G59" s="62"/>
      <c r="H59" s="63"/>
      <c r="I59" s="131"/>
      <c r="J59" s="132"/>
    </row>
    <row r="60" spans="1:10" ht="25.15" customHeight="1">
      <c r="A60" s="79" t="str">
        <f ca="1">Declaration!B77</f>
        <v>5) What percentage of relevant suppliers have provided a response to your supply chain survey?(*)</v>
      </c>
      <c r="B60" s="82"/>
      <c r="C60" s="82"/>
      <c r="D60" s="86"/>
      <c r="E60" s="16" t="s">
        <v>15</v>
      </c>
      <c r="F60" s="83"/>
    </row>
    <row r="61" spans="1:10" ht="26.25">
      <c r="A61" s="80" t="str">
        <f>Declaration!B78</f>
        <v>Cobalt(*)</v>
      </c>
      <c r="B61" s="79" t="str">
        <f>Declaration!D78</f>
        <v>Greater than 90%</v>
      </c>
      <c r="C61" s="136" t="str">
        <f t="shared" ca="1" si="3"/>
        <v>Complete</v>
      </c>
      <c r="D61" s="319"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Mica(*)</v>
      </c>
      <c r="B62" s="79" t="str">
        <f>Declaration!D79</f>
        <v>Greater than 90%</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
      </c>
      <c r="B66" s="79">
        <f>Declaration!D83</f>
        <v>0</v>
      </c>
      <c r="C66" s="136" t="str">
        <f t="shared" ca="1" si="3"/>
        <v>Complete</v>
      </c>
      <c r="D66" s="319" t="str">
        <f t="shared" si="25"/>
        <v/>
      </c>
      <c r="E66" s="16"/>
      <c r="F66" s="84">
        <f t="shared" si="26"/>
        <v>0</v>
      </c>
      <c r="G66" s="62">
        <f t="shared" si="27"/>
        <v>1</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2.15" hidden="1" customHeight="1">
      <c r="A67" s="80" t="str">
        <f>Declaration!B84</f>
        <v/>
      </c>
      <c r="B67" s="79">
        <f>Declaration!D84</f>
        <v>0</v>
      </c>
      <c r="C67" s="136">
        <f t="shared" si="3"/>
        <v>0</v>
      </c>
      <c r="D67" s="85"/>
      <c r="E67" s="16"/>
      <c r="F67" s="84"/>
      <c r="G67" s="62"/>
      <c r="H67" s="63"/>
      <c r="I67" s="131"/>
    </row>
    <row r="68" spans="1:10" ht="22.15" hidden="1" customHeight="1">
      <c r="A68" s="80" t="str">
        <f>Declaration!B85</f>
        <v/>
      </c>
      <c r="B68" s="79">
        <f>Declaration!D85</f>
        <v>0</v>
      </c>
      <c r="C68" s="136">
        <f t="shared" si="3"/>
        <v>0</v>
      </c>
      <c r="D68" s="85"/>
      <c r="E68" s="16"/>
      <c r="F68" s="84"/>
      <c r="G68" s="62"/>
      <c r="H68" s="63"/>
      <c r="I68" s="131"/>
    </row>
    <row r="69" spans="1:10" ht="22.15" hidden="1" customHeight="1">
      <c r="A69" s="80" t="str">
        <f>Declaration!B86</f>
        <v/>
      </c>
      <c r="B69" s="79">
        <f>Declaration!D86</f>
        <v>0</v>
      </c>
      <c r="C69" s="136">
        <f t="shared" si="3"/>
        <v>0</v>
      </c>
      <c r="D69" s="85"/>
      <c r="E69" s="16" t="s">
        <v>18</v>
      </c>
      <c r="F69" s="84"/>
      <c r="G69" s="62"/>
      <c r="H69" s="63"/>
      <c r="I69" s="131"/>
    </row>
    <row r="70" spans="1:10" ht="22.15" hidden="1" customHeight="1">
      <c r="A70" s="80" t="str">
        <f>Declaration!B87</f>
        <v/>
      </c>
      <c r="B70" s="79">
        <f>Declaration!D87</f>
        <v>0</v>
      </c>
      <c r="C70" s="136">
        <f t="shared" si="3"/>
        <v>0</v>
      </c>
      <c r="D70" s="85"/>
      <c r="E70" s="16" t="s">
        <v>18</v>
      </c>
      <c r="F70" s="84"/>
      <c r="G70" s="62"/>
      <c r="H70" s="63"/>
      <c r="I70" s="131"/>
    </row>
    <row r="71" spans="1:10" ht="25.1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Cobalt(*)</v>
      </c>
      <c r="B72" s="79" t="str">
        <f>Declaration!D90</f>
        <v>Yes</v>
      </c>
      <c r="C72" s="136" t="str">
        <f t="shared" ca="1" si="3"/>
        <v>Complete</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Mica(*)</v>
      </c>
      <c r="B73" s="79" t="str">
        <f>Declaration!D91</f>
        <v>Yes</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
      </c>
      <c r="B77" s="79">
        <f>Declaration!D95</f>
        <v>0</v>
      </c>
      <c r="C77" s="136" t="str">
        <f t="shared" ca="1" si="31"/>
        <v>Complete</v>
      </c>
      <c r="D77" s="319" t="str">
        <f t="shared" si="32"/>
        <v/>
      </c>
      <c r="E77" s="16"/>
      <c r="F77" s="84">
        <f t="shared" si="33"/>
        <v>0</v>
      </c>
      <c r="G77" s="62">
        <f t="shared" si="34"/>
        <v>1</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15" hidden="1" customHeight="1">
      <c r="A78" s="80" t="str">
        <f>Declaration!B96</f>
        <v/>
      </c>
      <c r="B78" s="79">
        <f>Declaration!D96</f>
        <v>0</v>
      </c>
      <c r="C78" s="136">
        <f t="shared" si="31"/>
        <v>0</v>
      </c>
      <c r="D78" s="87"/>
      <c r="E78" s="16"/>
      <c r="F78" s="84"/>
      <c r="G78" s="62"/>
      <c r="H78" s="63"/>
      <c r="I78" s="131"/>
    </row>
    <row r="79" spans="1:10" ht="22.15" hidden="1" customHeight="1">
      <c r="A79" s="80" t="str">
        <f>Declaration!B97</f>
        <v/>
      </c>
      <c r="B79" s="79">
        <f>Declaration!D97</f>
        <v>0</v>
      </c>
      <c r="C79" s="136">
        <f t="shared" si="31"/>
        <v>0</v>
      </c>
      <c r="D79" s="87"/>
      <c r="E79" s="16"/>
      <c r="F79" s="84"/>
      <c r="G79" s="62"/>
      <c r="H79" s="63"/>
      <c r="I79" s="131"/>
    </row>
    <row r="80" spans="1:10" ht="22.15" hidden="1" customHeight="1">
      <c r="A80" s="80" t="str">
        <f>Declaration!B98</f>
        <v/>
      </c>
      <c r="B80" s="79">
        <f>Declaration!D98</f>
        <v>0</v>
      </c>
      <c r="C80" s="136">
        <f t="shared" si="31"/>
        <v>0</v>
      </c>
      <c r="D80" s="87"/>
      <c r="E80" s="16" t="s">
        <v>13</v>
      </c>
      <c r="F80" s="84"/>
      <c r="G80" s="62"/>
      <c r="H80" s="63"/>
      <c r="I80" s="131"/>
    </row>
    <row r="81" spans="1:10" ht="22.15" hidden="1" customHeight="1">
      <c r="A81" s="80" t="str">
        <f>Declaration!B99</f>
        <v/>
      </c>
      <c r="B81" s="79">
        <f>Declaration!D99</f>
        <v>0</v>
      </c>
      <c r="C81" s="136">
        <f t="shared" si="31"/>
        <v>0</v>
      </c>
      <c r="D81" s="87"/>
      <c r="E81" s="16" t="s">
        <v>13</v>
      </c>
      <c r="F81" s="84"/>
      <c r="G81" s="62"/>
      <c r="H81" s="63"/>
      <c r="I81" s="131"/>
    </row>
    <row r="82" spans="1:10" ht="50.65" customHeight="1">
      <c r="A82" s="79" t="str">
        <f ca="1">Declaration!B101</f>
        <v>7) Has all applicable smelter or processor information received by your company been reported in this declaration?(*)</v>
      </c>
      <c r="B82" s="82"/>
      <c r="C82" s="82"/>
      <c r="D82" s="86"/>
      <c r="E82" s="16" t="s">
        <v>16</v>
      </c>
      <c r="F82" s="83"/>
    </row>
    <row r="83" spans="1:10" ht="41.65" customHeight="1">
      <c r="A83" s="80" t="str">
        <f>Declaration!B102</f>
        <v>Cobalt(*)</v>
      </c>
      <c r="B83" s="79" t="str">
        <f>Declaration!D102</f>
        <v>Yes</v>
      </c>
      <c r="C83" s="136" t="str">
        <f t="shared" ref="C83:C92" ca="1" si="36">IF(H83=1,J83,I83)</f>
        <v>Complete</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65" customHeight="1">
      <c r="A84" s="80" t="str">
        <f>Declaration!B103</f>
        <v>Mica(*)</v>
      </c>
      <c r="B84" s="79" t="str">
        <f>Declaration!D103</f>
        <v>Yes</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65" customHeight="1">
      <c r="A85" s="80" t="str">
        <f>Declaration!B104</f>
        <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65" customHeight="1">
      <c r="A86" s="80" t="str">
        <f>Declaration!B105</f>
        <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65" customHeight="1">
      <c r="A87" s="80" t="str">
        <f>Declaration!B106</f>
        <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65" customHeight="1">
      <c r="A88" s="80" t="str">
        <f>Declaration!B107</f>
        <v/>
      </c>
      <c r="B88" s="79">
        <f>Declaration!D107</f>
        <v>0</v>
      </c>
      <c r="C88" s="136" t="str">
        <f t="shared" ca="1" si="36"/>
        <v>Complete</v>
      </c>
      <c r="D88" s="319" t="str">
        <f t="shared" si="39"/>
        <v/>
      </c>
      <c r="E88" s="16"/>
      <c r="F88" s="84">
        <f t="shared" si="40"/>
        <v>0</v>
      </c>
      <c r="G88" s="62">
        <f t="shared" si="41"/>
        <v>1</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2.15" hidden="1" customHeight="1">
      <c r="A89" s="80" t="str">
        <f>Declaration!B108</f>
        <v/>
      </c>
      <c r="B89" s="79">
        <f>Declaration!D108</f>
        <v>0</v>
      </c>
      <c r="C89" s="136">
        <f t="shared" si="36"/>
        <v>0</v>
      </c>
      <c r="D89" s="88"/>
      <c r="E89" s="16"/>
      <c r="F89" s="84"/>
      <c r="G89" s="62"/>
      <c r="H89" s="63"/>
      <c r="I89" s="131"/>
    </row>
    <row r="90" spans="1:10" ht="22.15" hidden="1" customHeight="1">
      <c r="A90" s="80" t="str">
        <f>Declaration!B109</f>
        <v/>
      </c>
      <c r="B90" s="79">
        <f>Declaration!D109</f>
        <v>0</v>
      </c>
      <c r="C90" s="136">
        <f t="shared" si="36"/>
        <v>0</v>
      </c>
      <c r="D90" s="88"/>
      <c r="E90" s="16"/>
      <c r="F90" s="84"/>
      <c r="G90" s="62"/>
      <c r="H90" s="63"/>
      <c r="I90" s="131"/>
    </row>
    <row r="91" spans="1:10" ht="22.15" hidden="1" customHeight="1">
      <c r="A91" s="80" t="str">
        <f>Declaration!B110</f>
        <v/>
      </c>
      <c r="B91" s="79">
        <f>Declaration!D110</f>
        <v>0</v>
      </c>
      <c r="C91" s="136">
        <f t="shared" si="36"/>
        <v>0</v>
      </c>
      <c r="D91" s="88"/>
      <c r="E91" s="16" t="s">
        <v>15</v>
      </c>
      <c r="F91" s="84"/>
      <c r="G91" s="62"/>
      <c r="H91" s="63"/>
      <c r="I91" s="131"/>
    </row>
    <row r="92" spans="1:10" ht="22.15" hidden="1" customHeight="1">
      <c r="A92" s="80" t="str">
        <f>Declaration!B111</f>
        <v/>
      </c>
      <c r="B92" s="79">
        <f>Declaration!D111</f>
        <v>0</v>
      </c>
      <c r="C92" s="136">
        <f t="shared" si="36"/>
        <v>0</v>
      </c>
      <c r="D92" s="88"/>
      <c r="E92" s="16" t="s">
        <v>15</v>
      </c>
      <c r="F92" s="84"/>
      <c r="G92" s="62"/>
      <c r="H92" s="63"/>
      <c r="I92" s="131"/>
    </row>
    <row r="93" spans="1:10" ht="22.1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51">
      <c r="A95" s="79" t="str">
        <f ca="1">Declaration!B117</f>
        <v>B. Is your responsible minerals sourcing policy publicly available on your website? (Note – If yes, the user shall specify the URL in the comment field.) (*)</v>
      </c>
      <c r="B95" s="79" t="str">
        <f>Declaration!D117</f>
        <v>Yes</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15" customHeight="1">
      <c r="A96" s="79" t="s">
        <v>53</v>
      </c>
      <c r="B96" s="79" t="str">
        <f>Declaration!G117</f>
        <v>https://www.basler.com/About-Us/Supplier-Information</v>
      </c>
      <c r="C96" s="79" t="str">
        <f ca="1">IF(H96=1,J96,I96)</f>
        <v>Complete</v>
      </c>
      <c r="D96" s="322"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5.1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Yes</v>
      </c>
      <c r="C98" s="136" t="str">
        <f t="shared" ref="C98:C112" ca="1" si="44">IF(H98=1,J98,I98)</f>
        <v>Complete</v>
      </c>
      <c r="D98" s="321"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Mica(*)</v>
      </c>
      <c r="B99" s="79" t="str">
        <f>Declaration!D121</f>
        <v>Yes</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
      </c>
      <c r="B100" s="79">
        <f>Declaration!D122</f>
        <v>0</v>
      </c>
      <c r="C100" s="136" t="str">
        <f t="shared" ca="1" si="44"/>
        <v>Complete</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
      </c>
      <c r="B103" s="79">
        <f>Declaration!D125</f>
        <v>0</v>
      </c>
      <c r="C103" s="136" t="str">
        <f t="shared" ca="1" si="44"/>
        <v>Complete</v>
      </c>
      <c r="D103" s="321" t="str">
        <f t="shared" si="46"/>
        <v/>
      </c>
      <c r="E103" s="16"/>
      <c r="F103" s="84">
        <f t="shared" si="45"/>
        <v>0</v>
      </c>
      <c r="G103" s="62">
        <f t="shared" si="47"/>
        <v>1</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15" hidden="1" customHeight="1">
      <c r="A104" s="79" t="str">
        <f>Declaration!B126</f>
        <v/>
      </c>
      <c r="B104" s="79">
        <f>Declaration!D126</f>
        <v>0</v>
      </c>
      <c r="C104" s="136">
        <f t="shared" si="44"/>
        <v>0</v>
      </c>
      <c r="D104" s="193"/>
      <c r="E104" s="16"/>
      <c r="F104" s="84"/>
      <c r="G104" s="62"/>
      <c r="H104" s="63"/>
      <c r="I104" s="131"/>
    </row>
    <row r="105" spans="1:10" ht="25.15" hidden="1" customHeight="1">
      <c r="A105" s="79" t="str">
        <f>Declaration!B127</f>
        <v/>
      </c>
      <c r="B105" s="79">
        <f>Declaration!D127</f>
        <v>0</v>
      </c>
      <c r="C105" s="136">
        <f t="shared" si="44"/>
        <v>0</v>
      </c>
      <c r="D105" s="193"/>
      <c r="E105" s="16"/>
      <c r="F105" s="84"/>
      <c r="G105" s="62"/>
      <c r="H105" s="63"/>
      <c r="I105" s="131"/>
    </row>
    <row r="106" spans="1:10" ht="25.15" hidden="1" customHeight="1">
      <c r="A106" s="79" t="str">
        <f>Declaration!B128</f>
        <v/>
      </c>
      <c r="B106" s="79">
        <f>Declaration!D128</f>
        <v>0</v>
      </c>
      <c r="C106" s="136">
        <f t="shared" si="44"/>
        <v>0</v>
      </c>
      <c r="D106" s="193"/>
      <c r="E106" s="16"/>
      <c r="F106" s="84"/>
      <c r="G106" s="62"/>
      <c r="H106" s="63"/>
      <c r="I106" s="131"/>
    </row>
    <row r="107" spans="1:10" ht="25.1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Using Other Format (Describe)</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1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IF(H114=0,"","Click here to provide smelter information")</f>
        <v/>
      </c>
      <c r="E114" s="16" t="s">
        <v>15</v>
      </c>
      <c r="F114" s="84">
        <f>F39</f>
        <v>1</v>
      </c>
      <c r="G114" s="62">
        <f>IF(AND(COUNTIF(SmelterIdetifiedForMetal,A114)&gt;0,COUNTIF('Smelter List'!AB$5:AB$2504,A114)&gt;0),0,1)</f>
        <v>0</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65" customHeight="1">
      <c r="A115" s="135" t="str">
        <f>Declaration!AA13</f>
        <v>Mica</v>
      </c>
      <c r="B115" s="79"/>
      <c r="C115" s="136" t="str">
        <f t="shared" ca="1" si="49"/>
        <v>Complete</v>
      </c>
      <c r="D115" s="379" t="str">
        <f>IF(H115=0,"","Click here to provide smelter information")</f>
        <v/>
      </c>
      <c r="E115" s="16"/>
      <c r="F115" s="84">
        <f>F40</f>
        <v>1</v>
      </c>
      <c r="G115" s="62">
        <f>IF(AND(COUNTIF(SmelterIdetifiedForMetal,A115)&gt;0,COUNTIF('Smelter List'!AB$5:AB$2504,A115)&gt;0),0,1)</f>
        <v>0</v>
      </c>
      <c r="H115" s="63">
        <f>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65" customHeight="1">
      <c r="A116" s="135" t="str">
        <f>Declaration!AA14</f>
        <v/>
      </c>
      <c r="B116" s="79"/>
      <c r="C116" s="136" t="str">
        <f t="shared" ca="1" si="49"/>
        <v>Complete</v>
      </c>
      <c r="D116" s="379" t="str">
        <f t="shared" ref="D116:D119" si="51">IF(H116=0,"","Click here to provide smelter information")</f>
        <v/>
      </c>
      <c r="E116" s="16"/>
      <c r="F116" s="84">
        <f t="shared" ref="F116:F119" si="52">F41</f>
        <v>0</v>
      </c>
      <c r="G116" s="62">
        <f>IF(AND(COUNTIF(SmelterIdetifiedForMetal,A116)&gt;0,COUNTIF('Smelter List'!AB$5:AB$2504,A116)&gt;0),0,1)</f>
        <v>0</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65" customHeight="1">
      <c r="A117" s="135" t="str">
        <f>Declaration!AA15</f>
        <v/>
      </c>
      <c r="B117" s="79"/>
      <c r="C117" s="136" t="str">
        <f t="shared" ca="1" si="49"/>
        <v>Complete</v>
      </c>
      <c r="D117" s="379" t="str">
        <f t="shared" si="51"/>
        <v/>
      </c>
      <c r="E117" s="16"/>
      <c r="F117" s="84">
        <f t="shared" si="52"/>
        <v>0</v>
      </c>
      <c r="G117" s="62">
        <f>IF(AND(COUNTIF(SmelterIdetifiedForMetal,A117)&gt;0,COUNTIF('Smelter List'!AB$5:AB$2504,A117)&gt;0),0,1)</f>
        <v>0</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65" customHeight="1">
      <c r="A118" s="135" t="str">
        <f>Declaration!AA16</f>
        <v/>
      </c>
      <c r="B118" s="79"/>
      <c r="C118" s="136" t="str">
        <f t="shared" ca="1" si="49"/>
        <v>Complete</v>
      </c>
      <c r="D118" s="379" t="str">
        <f t="shared" si="51"/>
        <v/>
      </c>
      <c r="E118" s="16"/>
      <c r="F118" s="84">
        <f t="shared" si="52"/>
        <v>0</v>
      </c>
      <c r="G118" s="62">
        <f>IF(AND(COUNTIF(SmelterIdetifiedForMetal,A118)&gt;0,COUNTIF('Smelter List'!AB$5:AB$2504,A118)&gt;0),0,1)</f>
        <v>0</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65" customHeight="1">
      <c r="A119" s="135" t="str">
        <f>Declaration!AA17</f>
        <v/>
      </c>
      <c r="B119" s="79"/>
      <c r="C119" s="136" t="str">
        <f t="shared" ca="1" si="49"/>
        <v>Complete</v>
      </c>
      <c r="D119" s="379" t="str">
        <f t="shared" si="51"/>
        <v/>
      </c>
      <c r="E119" s="16"/>
      <c r="F119" s="84">
        <f t="shared" si="52"/>
        <v>0</v>
      </c>
      <c r="G119" s="62">
        <f>IF(AND(COUNTIF(SmelterIdetifiedForMetal,A119)&gt;0,COUNTIF('Smelter List'!AB$5:AB$2504,A119)&gt;0),0,1)</f>
        <v>0</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5.15" hidden="1" customHeight="1">
      <c r="A120" s="135" t="str">
        <f>Declaration!AA18</f>
        <v/>
      </c>
      <c r="B120" s="79"/>
      <c r="C120" s="136">
        <f t="shared" si="49"/>
        <v>0</v>
      </c>
      <c r="D120" s="220"/>
      <c r="E120" s="16"/>
      <c r="F120" s="84"/>
      <c r="G120" s="62"/>
      <c r="H120" s="63"/>
      <c r="I120" s="131"/>
      <c r="K120" s="134"/>
    </row>
    <row r="121" spans="1:12" ht="25.15" hidden="1" customHeight="1">
      <c r="A121" s="135" t="str">
        <f>Declaration!AA19</f>
        <v/>
      </c>
      <c r="B121" s="79"/>
      <c r="C121" s="136">
        <f t="shared" si="49"/>
        <v>0</v>
      </c>
      <c r="D121" s="220"/>
      <c r="E121" s="16"/>
      <c r="F121" s="84"/>
      <c r="G121" s="62"/>
      <c r="H121" s="63"/>
      <c r="I121" s="131"/>
      <c r="K121" s="134"/>
    </row>
    <row r="122" spans="1:12" ht="25.15" hidden="1" customHeight="1">
      <c r="A122" s="135" t="str">
        <f>Declaration!AA20</f>
        <v/>
      </c>
      <c r="B122" s="79"/>
      <c r="C122" s="136">
        <f t="shared" si="49"/>
        <v>0</v>
      </c>
      <c r="D122" s="85"/>
      <c r="E122" s="16" t="s">
        <v>15</v>
      </c>
      <c r="F122" s="84"/>
      <c r="G122" s="62"/>
      <c r="H122" s="63"/>
      <c r="I122" s="131"/>
      <c r="K122" s="134"/>
    </row>
    <row r="123" spans="1:12" ht="25.15" hidden="1" customHeight="1">
      <c r="A123" s="135" t="str">
        <f>Declaration!AA21</f>
        <v/>
      </c>
      <c r="B123" s="79"/>
      <c r="C123" s="136">
        <f t="shared" si="49"/>
        <v>0</v>
      </c>
      <c r="D123" s="85"/>
      <c r="E123" s="16" t="s">
        <v>15</v>
      </c>
      <c r="F123" s="84"/>
      <c r="G123" s="62"/>
      <c r="H123" s="63"/>
      <c r="I123" s="131"/>
      <c r="K123" s="134"/>
    </row>
    <row r="124" spans="1:12" ht="25.1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hyperlink ref="D11" location="Declaration!B21" display="Declaration!B21"/>
    <hyperlink ref="D50" location="Declaration!B66" display="Declaration!B66"/>
    <hyperlink ref="D114" location="'Smelter List'!A1" display="'Smelter List'!A1"/>
    <hyperlink ref="B2" location="'Smelter List'!A1" display="'Smelter List'!A1"/>
    <hyperlink ref="D6" location="Declaration!B10" display="Declaration!B10"/>
    <hyperlink ref="D111" location="Declaration!B137" display="Declaration!B137"/>
    <hyperlink ref="D109" location="Declaration!B133" display="Declaration!B133"/>
    <hyperlink ref="D108" location="Declaration!B131" display="Declaration!B131"/>
    <hyperlink ref="D96" location="Declaration!G117" display="Declaration!G117"/>
    <hyperlink ref="D95" location="Declaration!B117" display="Declaration!B117"/>
    <hyperlink ref="D83" location="Declaration!B102" display="Declaration!B102"/>
    <hyperlink ref="D72" location="Declaration!B90" display="Declaration!B90"/>
    <hyperlink ref="D61" location="Declaration!B78" display="Declaration!B78"/>
    <hyperlink ref="D17" location="Declaration!B30" display="Declaration!B30"/>
    <hyperlink ref="D15" location="Declaration!B26" display="Declaration!B26"/>
    <hyperlink ref="D13" location="Declaration!B24" display="Declaration!B24"/>
    <hyperlink ref="D12" location="Declaration!B22" display="Declaration!B22"/>
    <hyperlink ref="D4" location="Declaration!D8" display="Declaration!D8"/>
    <hyperlink ref="C2" location="'Product List'!A1" display="'Product List'!A1"/>
    <hyperlink ref="A2" location="Declaration!A1" display="Click here to return to Declaration tab"/>
    <hyperlink ref="D94" location="Declaration!B115" display="Declaration!B115"/>
    <hyperlink ref="D9" location="Declaration!B19" display="Declaration!B19"/>
    <hyperlink ref="D5" location="Declaration!B9" display="Declaration!B9"/>
    <hyperlink ref="D39" location="Declaration!B54" display="Declaration!B54"/>
    <hyperlink ref="D112" location="'Product List'!A1" display="'Product List'!A1"/>
    <hyperlink ref="D28" location="Declaration!B42" display="Declaration!B42"/>
    <hyperlink ref="D115" location="'Smelter List'!A1" display="'Smelter List'!A1"/>
    <hyperlink ref="D98" location="Declaration!B120" display="Declaration!B120"/>
    <hyperlink ref="D99" location="Declaration!B121" display="Declaration!B121"/>
    <hyperlink ref="D116:D119" location="'Smelter List'!A1" display="'Smelter List'!A1"/>
    <hyperlink ref="D7" location="Declaration!B12" display="Declaration!B12"/>
    <hyperlink ref="D10" location="Declaration!B20" display="Declaration!B20"/>
    <hyperlink ref="D18" location="Declaration!B31" display="Declaration!B31"/>
    <hyperlink ref="D19:D22" location="Declaration!B31" display="Declaration!B31"/>
    <hyperlink ref="D19" location="Declaration!B32" display="Declaration!B32"/>
    <hyperlink ref="D20" location="Declaration!B33" display="Declaration!B33"/>
    <hyperlink ref="D21" location="Declaration!B34" display="Declaration!B34"/>
    <hyperlink ref="D22" location="Declaration!B35" display="Declaration!B35"/>
    <hyperlink ref="D29:D33" location="Declaration!B32" display="Declaration!B32"/>
    <hyperlink ref="D29" location="Declaration!B43" display="Declaration!B43"/>
    <hyperlink ref="D30" location="Declaration!B44" display="Declaration!B44"/>
    <hyperlink ref="D31" location="Declaration!B45" display="Declaration!B45"/>
    <hyperlink ref="D32" location="Declaration!B46" display="Declaration!B46"/>
    <hyperlink ref="D33" location="Declaration!B47" display="Declaration!B47"/>
    <hyperlink ref="D40:D44" location="Declaration!B38" display="Declaration!B38"/>
    <hyperlink ref="D40" location="Declaration!B55" display="Declaration!B55"/>
    <hyperlink ref="D41" location="Declaration!B56" display="Declaration!B56"/>
    <hyperlink ref="D42" location="Declaration!B57" display="Declaration!B57"/>
    <hyperlink ref="D43" location="Declaration!B58" display="Declaration!B58"/>
    <hyperlink ref="D44" location="Declaration!B59" display="Declaration!B59"/>
    <hyperlink ref="D51:D55" location="Declaration!B44" display="Declaration!B44"/>
    <hyperlink ref="D51" location="Declaration!B67" display="Declaration!B67"/>
    <hyperlink ref="D52" location="Declaration!B68" display="Declaration!B68"/>
    <hyperlink ref="D53" location="Declaration!B69" display="Declaration!B69"/>
    <hyperlink ref="D54" location="Declaration!B70" display="Declaration!B70"/>
    <hyperlink ref="D55" location="Declaration!B71" display="Declaration!B71"/>
    <hyperlink ref="D62:D66" location="Declaration!B50" display="Declaration!B50"/>
    <hyperlink ref="D62" location="Declaration!B79" display="Declaration!B79"/>
    <hyperlink ref="D63" location="Declaration!B80" display="Declaration!B80"/>
    <hyperlink ref="D64" location="Declaration!B81" display="Declaration!B81"/>
    <hyperlink ref="D65" location="Declaration!B82" display="Declaration!B82"/>
    <hyperlink ref="D66" location="Declaration!B83" display="Declaration!B83"/>
    <hyperlink ref="D73:D77" location="Declaration!B56" display="Declaration!B56"/>
    <hyperlink ref="D73" location="Declaration!B91" display="Declaration!B91"/>
    <hyperlink ref="D74" location="Declaration!B92" display="Declaration!B92"/>
    <hyperlink ref="D75" location="Declaration!B93" display="Declaration!B93"/>
    <hyperlink ref="D76" location="Declaration!B94" display="Declaration!B94"/>
    <hyperlink ref="D77" location="Declaration!B95" display="Declaration!B95"/>
    <hyperlink ref="D84:D88" location="Declaration!B62" display="Declaration!B62"/>
    <hyperlink ref="D84" location="Declaration!B103" display="Declaration!B103"/>
    <hyperlink ref="D85" location="Declaration!B104" display="Declaration!B104"/>
    <hyperlink ref="D86" location="Declaration!B105" display="Declaration!B105"/>
    <hyperlink ref="D87" location="Declaration!B106" display="Declaration!B106"/>
    <hyperlink ref="D88" location="Declaration!B107" display="Declaration!B107"/>
    <hyperlink ref="D100:D103" location="Declaration!B75" display="Declaration!B75"/>
    <hyperlink ref="D100" location="Declaration!B122" display="Declaration!B122"/>
    <hyperlink ref="D101" location="Declaration!B123" display="Declaration!B123"/>
    <hyperlink ref="D102" location="Declaration!B124" display="Declaration!B124"/>
    <hyperlink ref="D103" location="Declaration!B125" display="Declaration!B125"/>
    <hyperlink ref="D124" location="'Smelter List'!A1" display="'Smelter List'!A1"/>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510"/>
  <sheetViews>
    <sheetView topLeftCell="A2" zoomScaleNormal="100" workbookViewId="0">
      <selection activeCell="A5" sqref="A5"/>
    </sheetView>
  </sheetViews>
  <sheetFormatPr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72" t="str">
        <f ca="1">OFFSET(L!$C$1,MATCH("Mine List"&amp;ADDRESS(ROW(),COLUMN(),4),L!$A:$A,0)-1,SL,,)</f>
        <v>TO BEGIN:</v>
      </c>
      <c r="C2" s="472" t="s">
        <v>19144</v>
      </c>
      <c r="D2" s="472" t="s">
        <v>19144</v>
      </c>
      <c r="E2" s="326"/>
      <c r="F2" s="326"/>
      <c r="G2" s="327"/>
      <c r="H2" s="473"/>
      <c r="I2" s="474"/>
      <c r="J2" s="474"/>
      <c r="K2" s="474"/>
      <c r="L2" s="474"/>
      <c r="M2" s="474"/>
      <c r="N2" s="328"/>
      <c r="O2" s="328"/>
    </row>
    <row r="3" spans="1:19" s="324" customFormat="1" ht="94.15" customHeight="1" thickBot="1">
      <c r="A3" s="360"/>
      <c r="B3" s="475"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19144</v>
      </c>
      <c r="D3" s="475" t="s">
        <v>19144</v>
      </c>
      <c r="E3" s="476" t="s">
        <v>19142</v>
      </c>
      <c r="F3" s="476"/>
      <c r="G3" s="477"/>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19.899999999999999"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19.899999999999999"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19.899999999999999"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19.899999999999999"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19.899999999999999"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19.899999999999999"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19.899999999999999"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19.899999999999999"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19.899999999999999"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19.899999999999999"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19.899999999999999"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19.899999999999999"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19.899999999999999"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19.899999999999999"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19.899999999999999"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19.899999999999999"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19.899999999999999"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19.899999999999999"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19.899999999999999"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19.899999999999999"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19.899999999999999"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19.899999999999999"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19.899999999999999"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19.899999999999999"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19.899999999999999"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19.899999999999999"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19.899999999999999"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19.899999999999999"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19.899999999999999"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19.899999999999999"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19.899999999999999"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19.899999999999999"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19.899999999999999"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19.899999999999999"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19.899999999999999"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19.899999999999999"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19.899999999999999"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19.899999999999999"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19.899999999999999"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19.899999999999999"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19.899999999999999"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19.899999999999999"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19.899999999999999"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19.899999999999999"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19.899999999999999"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19.899999999999999"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19.899999999999999"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19.899999999999999"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19.899999999999999"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19.899999999999999"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19.899999999999999"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19.899999999999999"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19.899999999999999"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19.899999999999999"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19.899999999999999"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19.899999999999999"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19.899999999999999"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19.899999999999999"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19.899999999999999"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19.899999999999999"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19.899999999999999"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19.899999999999999"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19.899999999999999"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19.899999999999999"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19.899999999999999"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19.899999999999999"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19.899999999999999"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19.899999999999999"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19.899999999999999"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19.899999999999999"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19.899999999999999"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19.899999999999999"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19.899999999999999"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19.899999999999999"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19.899999999999999"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19.899999999999999"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19.899999999999999"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19.899999999999999"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19.899999999999999"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19.899999999999999"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19.899999999999999"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19.899999999999999"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19.899999999999999"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19.899999999999999"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19.899999999999999"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19.899999999999999"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19.899999999999999"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19.899999999999999"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19.899999999999999"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19.899999999999999"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19.899999999999999"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19.899999999999999"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19.899999999999999"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19.899999999999999"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19.899999999999999"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19.899999999999999"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19.899999999999999"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19.899999999999999"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19.899999999999999"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19.899999999999999"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19.899999999999999"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19.899999999999999"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19.899999999999999"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19.899999999999999"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19.899999999999999"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19.899999999999999"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19.899999999999999"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19.899999999999999"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19.899999999999999"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19.899999999999999"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19.899999999999999"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19.899999999999999"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19.899999999999999"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19.899999999999999"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19.899999999999999"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19.899999999999999"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19.899999999999999"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19.899999999999999"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19.899999999999999"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19.899999999999999"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19.899999999999999"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19.899999999999999"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19.899999999999999"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19.899999999999999"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19.899999999999999"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19.899999999999999"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19.899999999999999"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19.899999999999999"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19.899999999999999"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19.899999999999999"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19.899999999999999"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19.899999999999999"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19.899999999999999"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19.899999999999999"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19.899999999999999"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19.899999999999999"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19.899999999999999"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19.899999999999999"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19.899999999999999"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19.899999999999999"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19.899999999999999"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19.899999999999999"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19.899999999999999"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19.899999999999999"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19.899999999999999"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19.899999999999999"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19.899999999999999"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19.899999999999999"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19.899999999999999"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19.899999999999999"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19.899999999999999"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19.899999999999999"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19.899999999999999"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19.899999999999999"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19.899999999999999"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19.899999999999999"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19.899999999999999"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19.899999999999999"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19.899999999999999"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19.899999999999999"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19.899999999999999"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19.899999999999999"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19.899999999999999"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19.899999999999999"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19.899999999999999"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19.899999999999999"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19.899999999999999"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19.899999999999999"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19.899999999999999"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19.899999999999999"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19.899999999999999"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19.899999999999999"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19.899999999999999"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19.899999999999999"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19.899999999999999"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19.899999999999999"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19.899999999999999"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19.899999999999999"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19.899999999999999"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19.899999999999999"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19.899999999999999"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19.899999999999999"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19.899999999999999"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19.899999999999999"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19.899999999999999"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19.899999999999999"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19.899999999999999"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19.899999999999999"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19.899999999999999"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19.899999999999999"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19.899999999999999"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19.899999999999999"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19.899999999999999"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19.899999999999999"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19.899999999999999"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19.899999999999999"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19.899999999999999"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19.899999999999999"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19.899999999999999"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19.899999999999999"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19.899999999999999"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19.899999999999999"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19.899999999999999"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19.899999999999999"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19.899999999999999"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19.899999999999999"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19.899999999999999"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19.899999999999999"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19.899999999999999"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19.899999999999999"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19.899999999999999"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19.899999999999999"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19.899999999999999"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19.899999999999999"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19.899999999999999"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19.899999999999999"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19.899999999999999"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19.899999999999999"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19.899999999999999"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19.899999999999999"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19.899999999999999"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19.899999999999999"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19.899999999999999"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19.899999999999999"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19.899999999999999"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19.899999999999999"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19.899999999999999"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19.899999999999999"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19.899999999999999"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19.899999999999999"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19.899999999999999"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19.899999999999999"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19.899999999999999"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19.899999999999999"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19.899999999999999"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19.899999999999999"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19.899999999999999"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19.899999999999999"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19.899999999999999"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19.899999999999999"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19.899999999999999"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19.899999999999999"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19.899999999999999"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19.899999999999999"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19.899999999999999"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19.899999999999999"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19.899999999999999"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19.899999999999999"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19.899999999999999"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19.899999999999999"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19.899999999999999"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19.899999999999999"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19.899999999999999"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19.899999999999999"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19.899999999999999"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19.899999999999999"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19.899999999999999"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19.899999999999999"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19.899999999999999"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19.899999999999999"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19.899999999999999"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19.899999999999999"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19.899999999999999"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19.899999999999999"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19.899999999999999"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19.899999999999999"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19.899999999999999"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19.899999999999999"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19.899999999999999"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19.899999999999999"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19.899999999999999"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19.899999999999999"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19.899999999999999"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19.899999999999999"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19.899999999999999"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19.899999999999999"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19.899999999999999"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19.899999999999999"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19.899999999999999"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19.899999999999999"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19.899999999999999"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19.899999999999999"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19.899999999999999"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19.899999999999999"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19.899999999999999"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19.899999999999999"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19.899999999999999"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19.899999999999999"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19.899999999999999"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19.899999999999999"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19.899999999999999"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19.899999999999999"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19.899999999999999"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19.899999999999999"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19.899999999999999"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19.899999999999999"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19.899999999999999"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19.899999999999999"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19.899999999999999"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19.899999999999999"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19.899999999999999"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19.899999999999999"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19.899999999999999"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19.899999999999999"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19.899999999999999"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19.899999999999999"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19.899999999999999"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19.899999999999999"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19.899999999999999"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19.899999999999999"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19.899999999999999"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19.899999999999999"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19.899999999999999"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19.899999999999999"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19.899999999999999"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19.899999999999999"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19.899999999999999"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19.899999999999999"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19.899999999999999"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19.899999999999999"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19.899999999999999"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19.899999999999999"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19.899999999999999"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19.899999999999999"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19.899999999999999"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19.899999999999999"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19.899999999999999"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19.899999999999999"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19.899999999999999"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19.899999999999999"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19.899999999999999"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19.899999999999999"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19.899999999999999"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19.899999999999999"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19.899999999999999"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19.899999999999999"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19.899999999999999"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19.899999999999999"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19.899999999999999"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19.899999999999999"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19.899999999999999"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19.899999999999999"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19.899999999999999"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19.899999999999999"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19.899999999999999"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19.899999999999999"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19.899999999999999"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19.899999999999999"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19.899999999999999"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19.899999999999999"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19.899999999999999"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19.899999999999999"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19.899999999999999"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19.899999999999999"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19.899999999999999"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19.899999999999999"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19.899999999999999"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19.899999999999999"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19.899999999999999"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19.899999999999999"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19.899999999999999"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19.899999999999999"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19.899999999999999"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19.899999999999999"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19.899999999999999"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19.899999999999999"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19.899999999999999"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19.899999999999999"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19.899999999999999"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19.899999999999999"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19.899999999999999"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19.899999999999999"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19.899999999999999"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19.899999999999999"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19.899999999999999"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19.899999999999999"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19.899999999999999"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19.899999999999999"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19.899999999999999"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19.899999999999999"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19.899999999999999"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19.899999999999999"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19.899999999999999"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19.899999999999999"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19.899999999999999"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19.899999999999999"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19.899999999999999"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19.899999999999999"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19.899999999999999"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19.899999999999999"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19.899999999999999"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19.899999999999999"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19.899999999999999"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19.899999999999999"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19.899999999999999"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19.899999999999999"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19.899999999999999"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19.899999999999999"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19.899999999999999"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19.899999999999999"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19.899999999999999"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19.899999999999999"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19.899999999999999"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19.899999999999999"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19.899999999999999"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19.899999999999999"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19.899999999999999"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19.899999999999999"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19.899999999999999"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19.899999999999999"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19.899999999999999"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19.899999999999999"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19.899999999999999"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19.899999999999999"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19.899999999999999"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19.899999999999999"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19.899999999999999"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19.899999999999999"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19.899999999999999"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19.899999999999999"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19.899999999999999"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19.899999999999999"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19.899999999999999"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19.899999999999999"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19.899999999999999"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19.899999999999999"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19.899999999999999"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19.899999999999999"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19.899999999999999"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19.899999999999999"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19.899999999999999"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19.899999999999999"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19.899999999999999"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19.899999999999999"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19.899999999999999"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19.899999999999999"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19.899999999999999"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19.899999999999999"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19.899999999999999"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19.899999999999999"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19.899999999999999"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19.899999999999999"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19.899999999999999"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19.899999999999999"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19.899999999999999"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19.899999999999999"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19.899999999999999"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19.899999999999999"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19.899999999999999"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19.899999999999999"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19.899999999999999"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19.899999999999999"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19.899999999999999"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19.899999999999999"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19.899999999999999"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19.899999999999999"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19.899999999999999"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19.899999999999999"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19.899999999999999"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19.899999999999999"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19.899999999999999"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19.899999999999999"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19.899999999999999"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19.899999999999999"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19.899999999999999"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19.899999999999999"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19.899999999999999"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19.899999999999999"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19.899999999999999"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19.899999999999999"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19.899999999999999"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19.899999999999999"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19.899999999999999"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19.899999999999999"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19.899999999999999"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19.899999999999999"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19.899999999999999"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19.899999999999999"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19.899999999999999"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19.899999999999999"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19.899999999999999"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19.899999999999999"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19.899999999999999"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19.899999999999999"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19.899999999999999"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19.899999999999999"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19.899999999999999"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19.899999999999999"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19.899999999999999"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19.899999999999999"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19.899999999999999"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19.899999999999999"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19.899999999999999"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19.899999999999999"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19.899999999999999"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19.899999999999999"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19.899999999999999"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19.899999999999999"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19.899999999999999"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19.899999999999999"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19.899999999999999"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19.899999999999999"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19.899999999999999"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19.899999999999999"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19.899999999999999"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19.899999999999999"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19.899999999999999"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19.899999999999999"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19.899999999999999"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19.899999999999999"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19.899999999999999"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19.899999999999999"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19.899999999999999"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19.899999999999999"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19.899999999999999"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19.899999999999999"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19.899999999999999"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19.899999999999999"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19.899999999999999"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19.899999999999999"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19.899999999999999"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19.899999999999999"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19.899999999999999"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19.899999999999999"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19.899999999999999"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19.899999999999999"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19.899999999999999"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19.899999999999999"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19.899999999999999"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19.899999999999999"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19.899999999999999"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19.899999999999999"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19.899999999999999"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19.899999999999999"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19.899999999999999"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19.899999999999999"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19.899999999999999"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19.899999999999999"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19.899999999999999"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19.899999999999999"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19.899999999999999"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19.899999999999999"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19.899999999999999"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19.899999999999999"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19.899999999999999"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19.899999999999999"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19.899999999999999"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19.899999999999999"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19.899999999999999"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19.899999999999999"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19.899999999999999"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19.899999999999999"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19.899999999999999"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19.899999999999999"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19.899999999999999"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19.899999999999999"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19.899999999999999"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19.899999999999999"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19.899999999999999"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19.899999999999999"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19.899999999999999"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19.899999999999999"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19.899999999999999"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19.899999999999999"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19.899999999999999"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19.899999999999999"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19.899999999999999"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19.899999999999999"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19.899999999999999"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19.899999999999999"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19.899999999999999"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19.899999999999999"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19.899999999999999"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19.899999999999999"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19.899999999999999"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19.899999999999999"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19.899999999999999"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19.899999999999999"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19.899999999999999"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19.899999999999999"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19.899999999999999"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19.899999999999999"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19.899999999999999"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19.899999999999999"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19.899999999999999"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19.899999999999999"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19.899999999999999"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19.899999999999999"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19.899999999999999"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19.899999999999999"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19.899999999999999"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19.899999999999999"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19.899999999999999"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19.899999999999999"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19.899999999999999"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19.899999999999999"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19.899999999999999"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19.899999999999999"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19.899999999999999"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19.899999999999999"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19.899999999999999"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19.899999999999999"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19.899999999999999"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19.899999999999999"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19.899999999999999"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19.899999999999999"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19.899999999999999"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19.899999999999999"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19.899999999999999"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19.899999999999999"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19.899999999999999"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19.899999999999999"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19.899999999999999"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19.899999999999999"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19.899999999999999"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19.899999999999999"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19.899999999999999"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19.899999999999999"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19.899999999999999"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19.899999999999999"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19.899999999999999"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19.899999999999999"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19.899999999999999"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19.899999999999999"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19.899999999999999"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19.899999999999999"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19.899999999999999"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19.899999999999999"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19.899999999999999"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19.899999999999999"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19.899999999999999"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19.899999999999999"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19.899999999999999"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19.899999999999999"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19.899999999999999"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19.899999999999999"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19.899999999999999"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19.899999999999999"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19.899999999999999"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19.899999999999999"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19.899999999999999"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19.899999999999999"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19.899999999999999"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19.899999999999999"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19.899999999999999"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19.899999999999999"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19.899999999999999"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19.899999999999999"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19.899999999999999"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19.899999999999999"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19.899999999999999"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19.899999999999999"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19.899999999999999"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19.899999999999999"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19.899999999999999"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19.899999999999999"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19.899999999999999"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19.899999999999999"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19.899999999999999"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19.899999999999999"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19.899999999999999"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19.899999999999999"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19.899999999999999"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19.899999999999999"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19.899999999999999"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19.899999999999999"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19.899999999999999"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19.899999999999999"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19.899999999999999"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19.899999999999999"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19.899999999999999"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19.899999999999999"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19.899999999999999"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19.899999999999999"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19.899999999999999"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19.899999999999999"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19.899999999999999"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19.899999999999999"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19.899999999999999"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19.899999999999999"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19.899999999999999"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19.899999999999999"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19.899999999999999"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19.899999999999999"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19.899999999999999"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19.899999999999999"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19.899999999999999"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19.899999999999999"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19.899999999999999"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19.899999999999999"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19.899999999999999"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19.899999999999999"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19.899999999999999"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19.899999999999999"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19.899999999999999"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19.899999999999999"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19.899999999999999"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19.899999999999999"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19.899999999999999"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19.899999999999999"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19.899999999999999"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19.899999999999999"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19.899999999999999"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19.899999999999999"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19.899999999999999"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19.899999999999999"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19.899999999999999"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19.899999999999999"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19.899999999999999"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19.899999999999999"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19.899999999999999"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19.899999999999999"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19.899999999999999"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19.899999999999999"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19.899999999999999"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19.899999999999999"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19.899999999999999"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19.899999999999999"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19.899999999999999"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19.899999999999999"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19.899999999999999"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19.899999999999999"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19.899999999999999"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19.899999999999999"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19.899999999999999"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19.899999999999999"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19.899999999999999"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19.899999999999999"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19.899999999999999"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19.899999999999999"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19.899999999999999"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19.899999999999999"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19.899999999999999"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19.899999999999999"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19.899999999999999"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19.899999999999999"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19.899999999999999"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19.899999999999999"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19.899999999999999"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19.899999999999999"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19.899999999999999"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19.899999999999999"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19.899999999999999"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19.899999999999999"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19.899999999999999"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19.899999999999999"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19.899999999999999"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19.899999999999999"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19.899999999999999"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19.899999999999999"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19.899999999999999"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19.899999999999999"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19.899999999999999"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19.899999999999999"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19.899999999999999"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19.899999999999999"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19.899999999999999"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19.899999999999999"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19.899999999999999"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19.899999999999999"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19.899999999999999"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19.899999999999999"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19.899999999999999"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19.899999999999999"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19.899999999999999"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19.899999999999999"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19.899999999999999"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19.899999999999999"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19.899999999999999"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19.899999999999999"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19.899999999999999"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19.899999999999999"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19.899999999999999"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19.899999999999999"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19.899999999999999"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19.899999999999999"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19.899999999999999"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19.899999999999999"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19.899999999999999"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19.899999999999999"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19.899999999999999"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19.899999999999999"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19.899999999999999"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19.899999999999999"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19.899999999999999"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19.899999999999999"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19.899999999999999"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19.899999999999999"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19.899999999999999"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19.899999999999999"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19.899999999999999"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19.899999999999999"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19.899999999999999"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19.899999999999999"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19.899999999999999"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19.899999999999999"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19.899999999999999"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19.899999999999999"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19.899999999999999"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19.899999999999999"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19.899999999999999"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19.899999999999999"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19.899999999999999"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19.899999999999999"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19.899999999999999"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19.899999999999999"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19.899999999999999"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19.899999999999999"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19.899999999999999"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19.899999999999999"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19.899999999999999"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19.899999999999999"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19.899999999999999"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19.899999999999999"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19.899999999999999"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19.899999999999999"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19.899999999999999"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19.899999999999999"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19.899999999999999"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19.899999999999999"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19.899999999999999"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19.899999999999999"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19.899999999999999"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19.899999999999999"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19.899999999999999"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19.899999999999999"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19.899999999999999"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19.899999999999999"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19.899999999999999"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19.899999999999999"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19.899999999999999"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19.899999999999999"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19.899999999999999"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19.899999999999999"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19.899999999999999"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19.899999999999999"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19.899999999999999"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19.899999999999999"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19.899999999999999"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19.899999999999999"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19.899999999999999"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19.899999999999999"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19.899999999999999"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19.899999999999999"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19.899999999999999"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19.899999999999999"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19.899999999999999"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19.899999999999999"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19.899999999999999"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19.899999999999999"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19.899999999999999"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19.899999999999999"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19.899999999999999"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19.899999999999999"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19.899999999999999"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19.899999999999999"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19.899999999999999"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19.899999999999999"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19.899999999999999"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19.899999999999999"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19.899999999999999"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19.899999999999999"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19.899999999999999"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19.899999999999999"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19.899999999999999"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19.899999999999999"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19.899999999999999"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19.899999999999999"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19.899999999999999"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19.899999999999999"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19.899999999999999"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19.899999999999999"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19.899999999999999"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19.899999999999999"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19.899999999999999"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19.899999999999999"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19.899999999999999"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19.899999999999999"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19.899999999999999"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19.899999999999999"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19.899999999999999"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19.899999999999999"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19.899999999999999"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19.899999999999999"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19.899999999999999"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19.899999999999999"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19.899999999999999"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19.899999999999999"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19.899999999999999"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19.899999999999999"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19.899999999999999"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19.899999999999999"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19.899999999999999"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19.899999999999999"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19.899999999999999"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19.899999999999999"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19.899999999999999"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19.899999999999999"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19.899999999999999"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19.899999999999999"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19.899999999999999"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19.899999999999999"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19.899999999999999"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19.899999999999999"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19.899999999999999"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19.899999999999999"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19.899999999999999"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19.899999999999999"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19.899999999999999"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19.899999999999999"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19.899999999999999"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19.899999999999999"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19.899999999999999"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19.899999999999999"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19.899999999999999"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19.899999999999999"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19.899999999999999"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19.899999999999999"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19.899999999999999"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19.899999999999999"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19.899999999999999"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19.899999999999999"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19.899999999999999"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19.899999999999999"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19.899999999999999"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19.899999999999999"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19.899999999999999"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19.899999999999999"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19.899999999999999"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19.899999999999999"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19.899999999999999"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19.899999999999999"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19.899999999999999"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19.899999999999999"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19.899999999999999"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19.899999999999999"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19.899999999999999"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19.899999999999999"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19.899999999999999"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19.899999999999999"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19.899999999999999"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19.899999999999999"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19.899999999999999"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19.899999999999999"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19.899999999999999"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19.899999999999999"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19.899999999999999"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19.899999999999999"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19.899999999999999"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19.899999999999999"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19.899999999999999"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19.899999999999999"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19.899999999999999"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19.899999999999999"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19.899999999999999"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19.899999999999999"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19.899999999999999"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19.899999999999999"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19.899999999999999"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19.899999999999999"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19.899999999999999"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19.899999999999999"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19.899999999999999"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19.899999999999999"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19.899999999999999"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19.899999999999999"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19.899999999999999"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19.899999999999999"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19.899999999999999"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19.899999999999999"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19.899999999999999"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19.899999999999999"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19.899999999999999"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19.899999999999999"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19.899999999999999"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19.899999999999999"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19.899999999999999"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19.899999999999999"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19.899999999999999"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19.899999999999999"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19.899999999999999"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19.899999999999999"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19.899999999999999"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19.899999999999999"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19.899999999999999"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19.899999999999999"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19.899999999999999"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19.899999999999999"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19.899999999999999"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19.899999999999999"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19.899999999999999"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19.899999999999999"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19.899999999999999"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19.899999999999999"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19.899999999999999"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19.899999999999999"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19.899999999999999"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19.899999999999999"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19.899999999999999"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19.899999999999999"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19.899999999999999"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19.899999999999999"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19.899999999999999"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19.899999999999999"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19.899999999999999"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19.899999999999999"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19.899999999999999"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19.899999999999999"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19.899999999999999"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19.899999999999999"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19.899999999999999"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19.899999999999999"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19.899999999999999"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19.899999999999999"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19.899999999999999"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19.899999999999999"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19.899999999999999"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19.899999999999999"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19.899999999999999"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19.899999999999999"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19.899999999999999"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19.899999999999999"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19.899999999999999"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19.899999999999999"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19.899999999999999"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19.899999999999999"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19.899999999999999"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19.899999999999999"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19.899999999999999"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19.899999999999999"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19.899999999999999"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19.899999999999999"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19.899999999999999"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19.899999999999999"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19.899999999999999"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19.899999999999999"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19.899999999999999"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19.899999999999999"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19.899999999999999"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19.899999999999999"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19.899999999999999"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19.899999999999999"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19.899999999999999"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19.899999999999999"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19.899999999999999"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19.899999999999999"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19.899999999999999"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19.899999999999999"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19.899999999999999"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19.899999999999999"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19.899999999999999"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19.899999999999999"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19.899999999999999"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19.899999999999999"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19.899999999999999"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19.899999999999999"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19.899999999999999"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19.899999999999999"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19.899999999999999"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19.899999999999999"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19.899999999999999"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19.899999999999999"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19.899999999999999"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19.899999999999999"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19.899999999999999"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19.899999999999999"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19.899999999999999"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19.899999999999999"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19.899999999999999"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19.899999999999999"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19.899999999999999"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19.899999999999999"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19.899999999999999"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19.899999999999999"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19.899999999999999"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19.899999999999999"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19.899999999999999"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19.899999999999999"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19.899999999999999"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19.899999999999999"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19.899999999999999"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19.899999999999999"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19.899999999999999"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19.899999999999999"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19.899999999999999"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19.899999999999999"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19.899999999999999"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19.899999999999999"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19.899999999999999"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19.899999999999999"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19.899999999999999"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19.899999999999999"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19.899999999999999"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19.899999999999999"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19.899999999999999"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19.899999999999999"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19.899999999999999"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19.899999999999999"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19.899999999999999"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19.899999999999999"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19.899999999999999"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19.899999999999999"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19.899999999999999"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19.899999999999999"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19.899999999999999"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19.899999999999999"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19.899999999999999"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19.899999999999999"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19.899999999999999"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19.899999999999999"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19.899999999999999"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19.899999999999999"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19.899999999999999"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19.899999999999999"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19.899999999999999"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19.899999999999999"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19.899999999999999"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19.899999999999999"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19.899999999999999"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19.899999999999999"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19.899999999999999"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19.899999999999999"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19.899999999999999"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19.899999999999999"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19.899999999999999"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19.899999999999999"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19.899999999999999"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19.899999999999999"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19.899999999999999"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19.899999999999999"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19.899999999999999"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19.899999999999999"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19.899999999999999"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19.899999999999999"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19.899999999999999"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19.899999999999999"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19.899999999999999"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19.899999999999999"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19.899999999999999"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19.899999999999999"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19.899999999999999"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19.899999999999999"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19.899999999999999"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19.899999999999999"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19.899999999999999"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19.899999999999999"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19.899999999999999"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19.899999999999999"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19.899999999999999"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19.899999999999999"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19.899999999999999"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19.899999999999999"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19.899999999999999"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19.899999999999999"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19.899999999999999"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19.899999999999999"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19.899999999999999"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19.899999999999999"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19.899999999999999"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19.899999999999999"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19.899999999999999"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19.899999999999999"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19.899999999999999"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19.899999999999999"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19.899999999999999"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19.899999999999999"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19.899999999999999"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19.899999999999999"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19.899999999999999"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19.899999999999999"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19.899999999999999"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19.899999999999999"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19.899999999999999"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19.899999999999999"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19.899999999999999"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19.899999999999999"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19.899999999999999"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19.899999999999999"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19.899999999999999"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19.899999999999999"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19.899999999999999"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19.899999999999999"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19.899999999999999"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19.899999999999999"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19.899999999999999"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19.899999999999999"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19.899999999999999"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19.899999999999999"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19.899999999999999"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19.899999999999999"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19.899999999999999"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19.899999999999999"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19.899999999999999"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19.899999999999999"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19.899999999999999"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19.899999999999999"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19.899999999999999"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19.899999999999999"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19.899999999999999"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19.899999999999999"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19.899999999999999"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19.899999999999999"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19.899999999999999"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19.899999999999999"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19.899999999999999"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19.899999999999999"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19.899999999999999"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19.899999999999999"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19.899999999999999"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19.899999999999999"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19.899999999999999"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19.899999999999999"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19.899999999999999"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19.899999999999999"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19.899999999999999"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19.899999999999999"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19.899999999999999"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19.899999999999999"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19.899999999999999"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19.899999999999999"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19.899999999999999"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19.899999999999999"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19.899999999999999"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19.899999999999999"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19.899999999999999"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19.899999999999999"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19.899999999999999"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19.899999999999999"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19.899999999999999"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19.899999999999999"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19.899999999999999"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19.899999999999999"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19.899999999999999"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19.899999999999999"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19.899999999999999"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19.899999999999999"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19.899999999999999"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19.899999999999999"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19.899999999999999"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19.899999999999999"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19.899999999999999"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19.899999999999999"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19.899999999999999"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19.899999999999999"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19.899999999999999"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19.899999999999999"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19.899999999999999"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19.899999999999999"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19.899999999999999"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19.899999999999999"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19.899999999999999"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19.899999999999999"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19.899999999999999"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19.899999999999999"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19.899999999999999"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19.899999999999999"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19.899999999999999"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19.899999999999999"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19.899999999999999"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19.899999999999999"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19.899999999999999"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19.899999999999999"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19.899999999999999"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19.899999999999999"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19.899999999999999"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19.899999999999999"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19.899999999999999"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19.899999999999999"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19.899999999999999"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19.899999999999999"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19.899999999999999"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19.899999999999999"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19.899999999999999"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19.899999999999999"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19.899999999999999"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19.899999999999999"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19.899999999999999"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19.899999999999999"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19.899999999999999"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19.899999999999999"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19.899999999999999"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19.899999999999999"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19.899999999999999"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19.899999999999999"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19.899999999999999"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19.899999999999999"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19.899999999999999"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19.899999999999999"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19.899999999999999"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19.899999999999999"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19.899999999999999"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19.899999999999999"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19.899999999999999"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19.899999999999999"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19.899999999999999"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19.899999999999999"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19.899999999999999"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19.899999999999999"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19.899999999999999"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19.899999999999999"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19.899999999999999"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19.899999999999999"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19.899999999999999"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19.899999999999999"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19.899999999999999"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19.899999999999999"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19.899999999999999"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19.899999999999999"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19.899999999999999"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19.899999999999999"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19.899999999999999"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19.899999999999999"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19.899999999999999"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19.899999999999999"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19.899999999999999"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19.899999999999999"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19.899999999999999"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19.899999999999999"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19.899999999999999"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19.899999999999999"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19.899999999999999"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19.899999999999999"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19.899999999999999"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19.899999999999999"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19.899999999999999"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19.899999999999999"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19.899999999999999"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19.899999999999999"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19.899999999999999"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19.899999999999999"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19.899999999999999"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19.899999999999999"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19.899999999999999"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19.899999999999999"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19.899999999999999"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19.899999999999999"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19.899999999999999"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19.899999999999999"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19.899999999999999"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19.899999999999999"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19.899999999999999"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19.899999999999999"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19.899999999999999"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19.899999999999999"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19.899999999999999"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19.899999999999999"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19.899999999999999"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19.899999999999999"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19.899999999999999"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19.899999999999999"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19.899999999999999"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19.899999999999999"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19.899999999999999"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19.899999999999999"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19.899999999999999"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19.899999999999999"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19.899999999999999"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19.899999999999999"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19.899999999999999"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19.899999999999999"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19.899999999999999"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19.899999999999999"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19.899999999999999"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19.899999999999999"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19.899999999999999"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19.899999999999999"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19.899999999999999"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19.899999999999999"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19.899999999999999"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19.899999999999999"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19.899999999999999"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19.899999999999999"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19.899999999999999"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19.899999999999999"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19.899999999999999"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19.899999999999999"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19.899999999999999"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19.899999999999999"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19.899999999999999"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19.899999999999999"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19.899999999999999"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19.899999999999999"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19.899999999999999"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19.899999999999999"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19.899999999999999"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19.899999999999999"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19.899999999999999"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19.899999999999999"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19.899999999999999"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19.899999999999999"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19.899999999999999"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19.899999999999999"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19.899999999999999"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19.899999999999999"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19.899999999999999"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19.899999999999999"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19.899999999999999"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19.899999999999999"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19.899999999999999"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19.899999999999999"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19.899999999999999"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19.899999999999999"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19.899999999999999"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19.899999999999999"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19.899999999999999"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19.899999999999999"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19.899999999999999"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19.899999999999999"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19.899999999999999"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19.899999999999999"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19.899999999999999"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19.899999999999999"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19.899999999999999"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19.899999999999999"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19.899999999999999"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19.899999999999999"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19.899999999999999"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19.899999999999999"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19.899999999999999"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19.899999999999999"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19.899999999999999"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19.899999999999999"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19.899999999999999"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19.899999999999999"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19.899999999999999"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19.899999999999999"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19.899999999999999"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19.899999999999999"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19.899999999999999"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19.899999999999999"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19.899999999999999"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19.899999999999999"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19.899999999999999"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19.899999999999999"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19.899999999999999"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19.899999999999999"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19.899999999999999"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19.899999999999999"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19.899999999999999"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19.899999999999999"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19.899999999999999"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19.899999999999999"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19.899999999999999"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19.899999999999999"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19.899999999999999"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19.899999999999999"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19.899999999999999"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19.899999999999999"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19.899999999999999"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19.899999999999999"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19.899999999999999"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19.899999999999999"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19.899999999999999"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19.899999999999999"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19.899999999999999"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19.899999999999999"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19.899999999999999"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19.899999999999999"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19.899999999999999"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19.899999999999999"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19.899999999999999"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19.899999999999999"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19.899999999999999"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19.899999999999999"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19.899999999999999"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19.899999999999999"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19.899999999999999"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19.899999999999999"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19.899999999999999"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19.899999999999999"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19.899999999999999"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19.899999999999999"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19.899999999999999"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19.899999999999999"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19.899999999999999"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19.899999999999999"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19.899999999999999"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19.899999999999999"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19.899999999999999"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19.899999999999999"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19.899999999999999"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19.899999999999999"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19.899999999999999"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19.899999999999999"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19.899999999999999"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19.899999999999999"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19.899999999999999"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19.899999999999999"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19.899999999999999"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19.899999999999999"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19.899999999999999"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19.899999999999999"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19.899999999999999"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19.899999999999999"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19.899999999999999"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19.899999999999999"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19.899999999999999"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19.899999999999999"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19.899999999999999"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19.899999999999999"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19.899999999999999"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19.899999999999999"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19.899999999999999"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19.899999999999999"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19.899999999999999"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19.899999999999999"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19.899999999999999"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19.899999999999999"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19.899999999999999"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19.899999999999999"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19.899999999999999"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19.899999999999999"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19.899999999999999"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19.899999999999999"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19.899999999999999"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19.899999999999999"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19.899999999999999"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19.899999999999999"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19.899999999999999"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19.899999999999999"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19.899999999999999"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19.899999999999999"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19.899999999999999"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19.899999999999999"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19.899999999999999"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19.899999999999999"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19.899999999999999"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19.899999999999999"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19.899999999999999"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19.899999999999999"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19.899999999999999"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19.899999999999999"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19.899999999999999"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19.899999999999999"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19.899999999999999"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19.899999999999999"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19.899999999999999"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19.899999999999999"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19.899999999999999"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19.899999999999999"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19.899999999999999"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19.899999999999999"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19.899999999999999"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19.899999999999999"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19.899999999999999"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19.899999999999999"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19.899999999999999"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19.899999999999999"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19.899999999999999"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19.899999999999999"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19.899999999999999"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19.899999999999999"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19.899999999999999"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19.899999999999999"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19.899999999999999"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19.899999999999999"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19.899999999999999"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19.899999999999999"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19.899999999999999"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19.899999999999999"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19.899999999999999"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19.899999999999999"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19.899999999999999"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19.899999999999999"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19.899999999999999"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19.899999999999999"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19.899999999999999"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19.899999999999999"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19.899999999999999"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19.899999999999999"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19.899999999999999"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19.899999999999999"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19.899999999999999"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19.899999999999999"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19.899999999999999"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19.899999999999999"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19.899999999999999"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19.899999999999999"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19.899999999999999"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19.899999999999999"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19.899999999999999"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19.899999999999999"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19.899999999999999"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19.899999999999999"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19.899999999999999"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19.899999999999999"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19.899999999999999"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19.899999999999999"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19.899999999999999"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19.899999999999999"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19.899999999999999"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19.899999999999999"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19.899999999999999"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19.899999999999999"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19.899999999999999"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19.899999999999999"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19.899999999999999"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19.899999999999999"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19.899999999999999"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19.899999999999999"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19.899999999999999"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19.899999999999999"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19.899999999999999"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19.899999999999999"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19.899999999999999"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19.899999999999999"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19.899999999999999"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19.899999999999999"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19.899999999999999"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19.899999999999999"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19.899999999999999"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19.899999999999999"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19.899999999999999"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19.899999999999999"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19.899999999999999"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19.899999999999999"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19.899999999999999"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19.899999999999999"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19.899999999999999"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19.899999999999999"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19.899999999999999"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19.899999999999999"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19.899999999999999"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19.899999999999999"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19.899999999999999"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19.899999999999999"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19.899999999999999"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19.899999999999999"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19.899999999999999"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19.899999999999999"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19.899999999999999"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19.899999999999999"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19.899999999999999"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19.899999999999999"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19.899999999999999"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19.899999999999999"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19.899999999999999"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19.899999999999999"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19.899999999999999"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19.899999999999999"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19.899999999999999"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19.899999999999999"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19.899999999999999"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19.899999999999999"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19.899999999999999"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19.899999999999999"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19.899999999999999"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19.899999999999999"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19.899999999999999"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19.899999999999999"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19.899999999999999"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19.899999999999999"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19.899999999999999"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19.899999999999999"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19.899999999999999"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19.899999999999999"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19.899999999999999"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19.899999999999999"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19.899999999999999"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19.899999999999999"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19.899999999999999"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19.899999999999999"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19.899999999999999"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19.899999999999999"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19.899999999999999"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19.899999999999999"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19.899999999999999"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19.899999999999999"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19.899999999999999"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19.899999999999999"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19.899999999999999"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19.899999999999999"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19.899999999999999"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19.899999999999999"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19.899999999999999"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19.899999999999999"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19.899999999999999"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19.899999999999999"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19.899999999999999"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19.899999999999999"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19.899999999999999"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19.899999999999999"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19.899999999999999"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19.899999999999999"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19.899999999999999"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19.899999999999999"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19.899999999999999"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19.899999999999999"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19.899999999999999"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19.899999999999999"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19.899999999999999"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19.899999999999999"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19.899999999999999"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19.899999999999999"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19.899999999999999"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19.899999999999999"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19.899999999999999"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19.899999999999999"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19.899999999999999"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19.899999999999999"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19.899999999999999"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19.899999999999999"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19.899999999999999"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19.899999999999999"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19.899999999999999"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19.899999999999999"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19.899999999999999"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19.899999999999999"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19.899999999999999"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19.899999999999999"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19.899999999999999"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19.899999999999999"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19.899999999999999"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19.899999999999999"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19.899999999999999"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19.899999999999999"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19.899999999999999"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19.899999999999999"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19.899999999999999"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19.899999999999999"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19.899999999999999"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19.899999999999999"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19.899999999999999"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19.899999999999999"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19.899999999999999"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19.899999999999999"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19.899999999999999"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19.899999999999999"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19.899999999999999"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19.899999999999999"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19.899999999999999"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19.899999999999999"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19.899999999999999"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19.899999999999999"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19.899999999999999"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19.899999999999999"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19.899999999999999"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19.899999999999999"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19.899999999999999"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19.899999999999999"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19.899999999999999"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19.899999999999999"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19.899999999999999"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19.899999999999999"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19.899999999999999"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19.899999999999999"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19.899999999999999"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19.899999999999999"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19.899999999999999"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19.899999999999999"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19.899999999999999"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19.899999999999999"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19.899999999999999"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19.899999999999999"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19.899999999999999"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19.899999999999999"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19.899999999999999"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19.899999999999999"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19.899999999999999"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19.899999999999999"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19.899999999999999"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19.899999999999999"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19.899999999999999"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19.899999999999999"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19.899999999999999"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19.899999999999999"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19.899999999999999"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19.899999999999999"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19.899999999999999"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19.899999999999999"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19.899999999999999"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19.899999999999999"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19.899999999999999"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19.899999999999999"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19.899999999999999"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19.899999999999999"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19.899999999999999"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19.899999999999999"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19.899999999999999"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19.899999999999999"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19.899999999999999"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19.899999999999999"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19.899999999999999"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19.899999999999999"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19.899999999999999"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19.899999999999999"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19.899999999999999"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19.899999999999999"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19.899999999999999"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19.899999999999999"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19.899999999999999"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19.899999999999999"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19.899999999999999"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19.899999999999999"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19.899999999999999"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19.899999999999999"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19.899999999999999"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19.899999999999999"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19.899999999999999"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19.899999999999999"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19.899999999999999"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19.899999999999999"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19.899999999999999"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19.899999999999999"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19.899999999999999"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19.899999999999999"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19.899999999999999"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19.899999999999999"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19.899999999999999"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19.899999999999999"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19.899999999999999"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19.899999999999999"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19.899999999999999"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19.899999999999999"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19.899999999999999"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19.899999999999999"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19.899999999999999"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19.899999999999999"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19.899999999999999"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19.899999999999999"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19.899999999999999"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19.899999999999999"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19.899999999999999"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19.899999999999999"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19.899999999999999"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19.899999999999999"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19.899999999999999"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19.899999999999999"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19.899999999999999"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19.899999999999999"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19.899999999999999"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19.899999999999999"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19.899999999999999"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19.899999999999999"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19.899999999999999"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19.899999999999999"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19.899999999999999"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19.899999999999999"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19.899999999999999"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19.899999999999999"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19.899999999999999"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19.899999999999999"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19.899999999999999"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19.899999999999999"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19.899999999999999"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19.899999999999999"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19.899999999999999"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19.899999999999999"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19.899999999999999"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19.899999999999999"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19.899999999999999"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19.899999999999999"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19.899999999999999"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19.899999999999999"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19.899999999999999"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19.899999999999999"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19.899999999999999"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19.899999999999999"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19.899999999999999"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19.899999999999999"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19.899999999999999"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19.899999999999999"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19.899999999999999"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19.899999999999999"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19.899999999999999"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19.899999999999999"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19.899999999999999"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19.899999999999999"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19.899999999999999"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19.899999999999999"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19.899999999999999"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19.899999999999999"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19.899999999999999"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19.899999999999999"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19.899999999999999"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19.899999999999999"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19.899999999999999"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19.899999999999999"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19.899999999999999"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19.899999999999999"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19.899999999999999"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19.899999999999999"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19.899999999999999"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19.899999999999999"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19.899999999999999"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19.899999999999999"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19.899999999999999"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19.899999999999999"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19.899999999999999"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19.899999999999999"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19.899999999999999"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19.899999999999999"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19.899999999999999"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19.899999999999999"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19.899999999999999"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19.899999999999999"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19.899999999999999"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19.899999999999999"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19.899999999999999"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19.899999999999999"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19.899999999999999"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19.899999999999999"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19.899999999999999"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19.899999999999999"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19.899999999999999"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19.899999999999999"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19.899999999999999"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19.899999999999999"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19.899999999999999"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19.899999999999999"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19.899999999999999"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19.899999999999999"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19.899999999999999"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19.899999999999999"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19.899999999999999"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19.899999999999999"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19.899999999999999"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19.899999999999999"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19.899999999999999"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19.899999999999999"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19.899999999999999"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19.899999999999999"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19.899999999999999"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19.899999999999999"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19.899999999999999"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19.899999999999999"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19.899999999999999"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19.899999999999999"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19.899999999999999"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19.899999999999999"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19.899999999999999"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19.899999999999999"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19.899999999999999"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19.899999999999999"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19.899999999999999"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19.899999999999999"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19.899999999999999"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19.899999999999999"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19.899999999999999"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19.899999999999999"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19.899999999999999"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19.899999999999999"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19.899999999999999"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19.899999999999999"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19.899999999999999"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19.899999999999999"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19.899999999999999"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19.899999999999999"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19.899999999999999"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19.899999999999999"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19.899999999999999"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19.899999999999999"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19.899999999999999"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19.899999999999999"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19.899999999999999"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19.899999999999999"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19.899999999999999"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19.899999999999999"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19.899999999999999"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19.899999999999999"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19.899999999999999"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19.899999999999999"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19.899999999999999"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19.899999999999999"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19.899999999999999"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19.899999999999999"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19.899999999999999"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19.899999999999999"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19.899999999999999"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19.899999999999999"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19.899999999999999"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19.899999999999999"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19.899999999999999"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19.899999999999999"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19.899999999999999"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19.899999999999999"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19.899999999999999"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19.899999999999999"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19.899999999999999"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19.899999999999999"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19.899999999999999"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19.899999999999999"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19.899999999999999"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19.899999999999999"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19.899999999999999"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19.899999999999999"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19.899999999999999"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19.899999999999999"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19.899999999999999"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19.899999999999999"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19.899999999999999"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19.899999999999999"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19.899999999999999"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19.899999999999999"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19.899999999999999"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19.899999999999999"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19.899999999999999"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19.899999999999999"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19.899999999999999"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19.899999999999999"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19.899999999999999"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19.899999999999999"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19.899999999999999"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19.899999999999999"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19.899999999999999"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19.899999999999999"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19.899999999999999"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19.899999999999999"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19.899999999999999"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19.899999999999999"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19.899999999999999"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19.899999999999999"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19.899999999999999"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19.899999999999999"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19.899999999999999"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19.899999999999999"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19.899999999999999"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19.899999999999999"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19.899999999999999"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19.899999999999999"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19.899999999999999"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19.899999999999999"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19.899999999999999"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19.899999999999999"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19.899999999999999"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19.899999999999999"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19.899999999999999"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19.899999999999999"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19.899999999999999"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19.899999999999999"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19.899999999999999"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19.899999999999999"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19.899999999999999"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19.899999999999999"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19.899999999999999"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19.899999999999999"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19.899999999999999"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19.899999999999999"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19.899999999999999"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19.899999999999999"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19.899999999999999"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19.899999999999999"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19.899999999999999"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19.899999999999999"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19.899999999999999"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19.899999999999999"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19.899999999999999"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19.899999999999999"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19.899999999999999"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19.899999999999999"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19.899999999999999"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19.899999999999999"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19.899999999999999"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19.899999999999999"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19.899999999999999"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19.899999999999999"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19.899999999999999"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19.899999999999999"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19.899999999999999"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19.899999999999999"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19.899999999999999"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19.899999999999999"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19.899999999999999"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19.899999999999999"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19.899999999999999"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19.899999999999999"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19.899999999999999"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19.899999999999999"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19.899999999999999"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19.899999999999999"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19.899999999999999"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19.899999999999999"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19.899999999999999"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19.899999999999999"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19.899999999999999"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19.899999999999999"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19.899999999999999"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19.899999999999999"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19.899999999999999"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19.899999999999999"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19.899999999999999"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19.899999999999999"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19.899999999999999"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19.899999999999999"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19.899999999999999"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19.899999999999999"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19.899999999999999"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19.899999999999999"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19.899999999999999"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19.899999999999999"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19.899999999999999"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19.899999999999999"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19.899999999999999"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19.899999999999999"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19.899999999999999"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19.899999999999999"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19.899999999999999"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19.899999999999999"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19.899999999999999"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19.899999999999999"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19.899999999999999"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19.899999999999999"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19.899999999999999"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19.899999999999999"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19.899999999999999"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19.899999999999999"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19.899999999999999"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19.899999999999999"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19.899999999999999"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19.899999999999999"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19.899999999999999"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19.899999999999999"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19.899999999999999"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19.899999999999999"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19.899999999999999"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19.899999999999999"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19.899999999999999"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19.899999999999999"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19.899999999999999"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19.899999999999999"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19.899999999999999"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19.899999999999999"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19.899999999999999"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19.899999999999999"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19.899999999999999"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19.899999999999999"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19.899999999999999"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19.899999999999999"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19.899999999999999"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19.899999999999999"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19.899999999999999"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19.899999999999999"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19.899999999999999"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19.899999999999999"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19.899999999999999"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19.899999999999999"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19.899999999999999"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19.899999999999999"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19.899999999999999"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19.899999999999999"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19.899999999999999"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19.899999999999999"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19.899999999999999"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19.899999999999999"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19.899999999999999"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19.899999999999999"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19.899999999999999"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19.899999999999999"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19.899999999999999"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19.899999999999999"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19.899999999999999"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19.899999999999999"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19.899999999999999"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19.899999999999999"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19.899999999999999"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19.899999999999999"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19.899999999999999"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19.899999999999999"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19.899999999999999"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19.899999999999999"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19.899999999999999"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19.899999999999999"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19.899999999999999"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19.899999999999999"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19.899999999999999"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19.899999999999999"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19.899999999999999"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19.899999999999999"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19.899999999999999"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19.899999999999999"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19.899999999999999"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19.899999999999999"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19.899999999999999"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19.899999999999999"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19.899999999999999"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19.899999999999999"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19.899999999999999"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19.899999999999999"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19.899999999999999"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19.899999999999999"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19.899999999999999"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19.899999999999999"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19.899999999999999"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19.899999999999999"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19.899999999999999"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19.899999999999999"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19.899999999999999"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19.899999999999999"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19.899999999999999"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19.899999999999999"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19.899999999999999"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19.899999999999999"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19.899999999999999"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19.899999999999999"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19.899999999999999"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19.899999999999999"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19.899999999999999"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19.899999999999999"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19.899999999999999"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19.899999999999999"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19.899999999999999"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19.899999999999999"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19.899999999999999"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19.899999999999999"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19.899999999999999"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19.899999999999999"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19.899999999999999"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19.899999999999999"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19.899999999999999"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19.899999999999999"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19.899999999999999"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19.899999999999999"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19.899999999999999"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19.899999999999999"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19.899999999999999"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19.899999999999999"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19.899999999999999"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19.899999999999999"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19.899999999999999"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19.899999999999999"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19.899999999999999"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19.899999999999999"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19.899999999999999"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19.899999999999999"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19.899999999999999"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19.899999999999999"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19.899999999999999"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19.899999999999999"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19.899999999999999"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19.899999999999999"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19.899999999999999"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19.899999999999999"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19.899999999999999"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19.899999999999999"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19.899999999999999"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19.899999999999999"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19.899999999999999"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19.899999999999999"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19.899999999999999"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19.899999999999999"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19.899999999999999"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19.899999999999999"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19.899999999999999"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19.899999999999999"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19.899999999999999"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19.899999999999999"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19.899999999999999"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19.899999999999999"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19.899999999999999"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19.899999999999999"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19.899999999999999"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19.899999999999999"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19.899999999999999"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19.899999999999999"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19.899999999999999"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19.899999999999999"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19.899999999999999"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19.899999999999999"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19.899999999999999"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19.899999999999999"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19.899999999999999"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19.899999999999999"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19.899999999999999"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19.899999999999999"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19.899999999999999"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19.899999999999999"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19.899999999999999"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19.899999999999999"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19.899999999999999"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19.899999999999999"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19.899999999999999"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19.899999999999999"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19.899999999999999"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19.899999999999999"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19.899999999999999"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19.899999999999999"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19.899999999999999"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19.899999999999999"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19.899999999999999"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19.899999999999999"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19.899999999999999"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19.899999999999999"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19.899999999999999"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19.899999999999999"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19.899999999999999"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19.899999999999999"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19.899999999999999"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19.899999999999999"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19.899999999999999"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19.899999999999999"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19.899999999999999"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19.899999999999999"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19.899999999999999"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19.899999999999999"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19.899999999999999"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19.899999999999999"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19.899999999999999"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19.899999999999999"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19.899999999999999"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19.899999999999999"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19.899999999999999"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19.899999999999999"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19.899999999999999"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19.899999999999999"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19.899999999999999"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19.899999999999999"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19.899999999999999"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19.899999999999999"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19.899999999999999"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19.899999999999999"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19.899999999999999"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19.899999999999999"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19.899999999999999"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19.899999999999999"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19.899999999999999"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19.899999999999999"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19.899999999999999"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19.899999999999999"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19.899999999999999"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19.899999999999999"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19.899999999999999"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19.899999999999999"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19.899999999999999"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19.899999999999999"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19.899999999999999"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19.899999999999999"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19.899999999999999"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19.899999999999999"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19.899999999999999"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19.899999999999999"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19.899999999999999"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19.899999999999999"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19.899999999999999"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19.899999999999999"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19.899999999999999"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19.899999999999999"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19.899999999999999"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19.899999999999999"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19.899999999999999"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19.899999999999999"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19.899999999999999"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19.899999999999999"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19.899999999999999"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19.899999999999999"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19.899999999999999"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19.899999999999999"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19.899999999999999"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19.899999999999999"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19.899999999999999"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19.899999999999999"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19.899999999999999"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19.899999999999999"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19.899999999999999"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19.899999999999999"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19.899999999999999"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19.899999999999999"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19.899999999999999"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19.899999999999999"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19.899999999999999"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19.899999999999999"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19.899999999999999"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19.899999999999999"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19.899999999999999"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19.899999999999999"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19.899999999999999"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19.899999999999999"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19.899999999999999"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19.899999999999999"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19.899999999999999"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19.899999999999999"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19.899999999999999"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19.899999999999999"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19.899999999999999"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19.899999999999999"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19.899999999999999"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19.899999999999999"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19.899999999999999"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19.899999999999999"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19.899999999999999"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19.899999999999999"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19.899999999999999"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19.899999999999999"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19.899999999999999"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19.899999999999999"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19.899999999999999"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19.899999999999999"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19.899999999999999"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19.899999999999999"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19.899999999999999"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19.899999999999999"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19.899999999999999"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19.899999999999999"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19.899999999999999"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19.899999999999999"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19.899999999999999"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19.899999999999999"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19.899999999999999"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19.899999999999999"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19.899999999999999"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19.899999999999999"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19.899999999999999"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19.899999999999999"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19.899999999999999"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19.899999999999999"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19.899999999999999"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19.899999999999999"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19.899999999999999"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19.899999999999999"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19.899999999999999"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19.899999999999999"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19.899999999999999"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19.899999999999999"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19.899999999999999"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19.899999999999999"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19.899999999999999"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19.899999999999999"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19.899999999999999"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19.899999999999999"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19.899999999999999"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19.899999999999999"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19.899999999999999"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19.899999999999999"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19.899999999999999"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19.899999999999999"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19.899999999999999"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19.899999999999999"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19.899999999999999"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19.899999999999999"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19.899999999999999"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19.899999999999999"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19.899999999999999"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19.899999999999999"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19.899999999999999"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19.899999999999999"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19.899999999999999"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19.899999999999999"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19.899999999999999"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19.899999999999999"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19.899999999999999"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19.899999999999999"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19.899999999999999"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19.899999999999999"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19.899999999999999"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19.899999999999999"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19.899999999999999"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19.899999999999999"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19.899999999999999"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19.899999999999999"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19.899999999999999"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19.899999999999999"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19.899999999999999"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19.899999999999999"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19.899999999999999"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19.899999999999999"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19.899999999999999"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19.899999999999999"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19.899999999999999"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19.899999999999999"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19.899999999999999"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19.899999999999999"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19.899999999999999"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19.899999999999999"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19.899999999999999"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19.899999999999999"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19.899999999999999"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19.899999999999999"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19.899999999999999"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19.899999999999999"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19.899999999999999"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19.899999999999999"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19.899999999999999"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19.899999999999999"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19.899999999999999"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19.899999999999999"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19.899999999999999"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19.899999999999999"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19.899999999999999"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19.899999999999999"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19.899999999999999"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19.899999999999999"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19.899999999999999"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19.899999999999999"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19.899999999999999"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19.899999999999999"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19.899999999999999"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19.899999999999999"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19.899999999999999"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19.899999999999999"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19.899999999999999"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19.899999999999999"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19.899999999999999"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19.899999999999999"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19.899999999999999"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19.899999999999999"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19.899999999999999"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19.899999999999999"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19.899999999999999"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19.899999999999999"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19.899999999999999"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19.899999999999999"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6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formula1>SmelterdropX</formula1>
    </dataValidation>
    <dataValidation allowBlank="1" showErrorMessage="1" sqref="D5:E2504"/>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79" t="str">
        <f ca="1">OFFSET(L!$C$1,MATCH("Product List"&amp;ADDRESS(ROW(),COLUMN(),4),L!$A:$A,0)-1,SL,,)</f>
        <v>Completion required only if reporting level "Product (or List of Products)" selected on the 'Declaration' worksheet.</v>
      </c>
      <c r="B1" s="480"/>
      <c r="C1" s="480"/>
      <c r="D1" s="480"/>
      <c r="E1" s="107"/>
    </row>
    <row r="2" spans="1:35">
      <c r="A2" s="19"/>
      <c r="B2" s="109"/>
      <c r="C2" s="109"/>
      <c r="D2"/>
      <c r="E2" s="20"/>
    </row>
    <row r="3" spans="1:35">
      <c r="A3" s="19"/>
      <c r="B3" s="109"/>
      <c r="C3" s="109"/>
      <c r="D3" s="109"/>
      <c r="E3" s="20"/>
    </row>
    <row r="4" spans="1:35" ht="15.75" customHeight="1">
      <c r="A4" s="19"/>
      <c r="B4" s="478" t="s">
        <v>47</v>
      </c>
      <c r="C4" s="478"/>
      <c r="D4" s="478"/>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1" t="str">
        <f ca="1">OFFSET(L!$C$1,MATCH("General"&amp;"Cpy",L!$A:$A,0)-1,SL,,)</f>
        <v>© 2025 Responsible Minerals Initiative. All rights reserved.</v>
      </c>
      <c r="C1001" s="481"/>
      <c r="D1001" s="481"/>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sortState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documentManagement/types"/>
    <ds:schemaRef ds:uri="http://schemas.microsoft.com/office/2006/metadata/properties"/>
    <ds:schemaRef ds:uri="a54701f6-876b-4337-a24e-543e1bd311e6"/>
    <ds:schemaRef ds:uri="http://purl.org/dc/elements/1.1/"/>
    <ds:schemaRef ds:uri="http://schemas.openxmlformats.org/package/2006/metadata/core-properties"/>
    <ds:schemaRef ds:uri="http://schemas.microsoft.com/office/infopath/2007/PartnerControls"/>
    <ds:schemaRef ds:uri="http://purl.org/dc/terms/"/>
    <ds:schemaRef ds:uri="1b346dad-8a15-4ce7-a19a-07d981b0c5e2"/>
    <ds:schemaRef ds:uri="http://www.w3.org/XML/1998/namespace"/>
    <ds:schemaRef ds:uri="http://purl.org/dc/dcmitype/"/>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Renee Bippen</cp:lastModifiedBy>
  <cp:revision/>
  <dcterms:created xsi:type="dcterms:W3CDTF">2010-06-21T21:00:23Z</dcterms:created>
  <dcterms:modified xsi:type="dcterms:W3CDTF">2025-07-15T12:43:10Z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